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8690" windowHeight="8955"/>
  </bookViews>
  <sheets>
    <sheet name="Отчет о смете_2017" sheetId="11" r:id="rId1"/>
    <sheet name="смета 2017 _2вариант" sheetId="21" r:id="rId2"/>
    <sheet name="смета 2017" sheetId="20" r:id="rId3"/>
    <sheet name="Расчет нормативаТЭ  на 2018г." sheetId="22" r:id="rId4"/>
  </sheets>
  <definedNames>
    <definedName name="_xlnm.Print_Area" localSheetId="2">'смета 2017'!$A$4:$G$37</definedName>
    <definedName name="_xlnm.Print_Area" localSheetId="1">'смета 2017 _2вариант'!$A$4:$I$39</definedName>
  </definedNames>
  <calcPr calcId="124519"/>
</workbook>
</file>

<file path=xl/calcChain.xml><?xml version="1.0" encoding="utf-8"?>
<calcChain xmlns="http://schemas.openxmlformats.org/spreadsheetml/2006/main">
  <c r="F34" i="21"/>
  <c r="B10" i="22" l="1"/>
  <c r="C10" s="1"/>
  <c r="B13" s="1"/>
  <c r="B7" i="11" l="1"/>
  <c r="B38" s="1"/>
  <c r="F11" i="21"/>
  <c r="G34"/>
  <c r="H34" s="1"/>
  <c r="F33"/>
  <c r="G33" s="1"/>
  <c r="H33" s="1"/>
  <c r="E32"/>
  <c r="F32" s="1"/>
  <c r="G32" s="1"/>
  <c r="H32" s="1"/>
  <c r="H31" s="1"/>
  <c r="E31"/>
  <c r="F31" s="1"/>
  <c r="G31" s="1"/>
  <c r="D30"/>
  <c r="F30" s="1"/>
  <c r="G30" s="1"/>
  <c r="H30" s="1"/>
  <c r="D29"/>
  <c r="F29" s="1"/>
  <c r="G29" s="1"/>
  <c r="H29" s="1"/>
  <c r="H28" s="1"/>
  <c r="D28"/>
  <c r="F28" s="1"/>
  <c r="G28" s="1"/>
  <c r="F27"/>
  <c r="G27" s="1"/>
  <c r="H27" s="1"/>
  <c r="I24"/>
  <c r="E24"/>
  <c r="D24"/>
  <c r="F24" s="1"/>
  <c r="G24" s="1"/>
  <c r="H24" s="1"/>
  <c r="I23"/>
  <c r="J23" s="1"/>
  <c r="E23"/>
  <c r="D23"/>
  <c r="F23" s="1"/>
  <c r="G23" s="1"/>
  <c r="H23" s="1"/>
  <c r="I22"/>
  <c r="J22" s="1"/>
  <c r="E22"/>
  <c r="D22"/>
  <c r="F22" s="1"/>
  <c r="G22" s="1"/>
  <c r="H22" s="1"/>
  <c r="I21"/>
  <c r="J21" s="1"/>
  <c r="E21"/>
  <c r="E25" s="1"/>
  <c r="D21"/>
  <c r="F21" s="1"/>
  <c r="G21" s="1"/>
  <c r="H21" s="1"/>
  <c r="D20"/>
  <c r="F20" s="1"/>
  <c r="G20" s="1"/>
  <c r="H20" s="1"/>
  <c r="E18"/>
  <c r="D18"/>
  <c r="F18" s="1"/>
  <c r="G18" s="1"/>
  <c r="H18" s="1"/>
  <c r="E17"/>
  <c r="D17"/>
  <c r="F17" s="1"/>
  <c r="G17" s="1"/>
  <c r="H17" s="1"/>
  <c r="E16"/>
  <c r="D16"/>
  <c r="F16" s="1"/>
  <c r="G16" s="1"/>
  <c r="H16" s="1"/>
  <c r="F15"/>
  <c r="G15" s="1"/>
  <c r="H15" s="1"/>
  <c r="F14"/>
  <c r="G14" s="1"/>
  <c r="H14" s="1"/>
  <c r="F13"/>
  <c r="G13" s="1"/>
  <c r="H13" s="1"/>
  <c r="E12"/>
  <c r="K11"/>
  <c r="J11"/>
  <c r="I11"/>
  <c r="L11" s="1"/>
  <c r="G11"/>
  <c r="H11" s="1"/>
  <c r="E10"/>
  <c r="K9"/>
  <c r="J9"/>
  <c r="D12" l="1"/>
  <c r="E26"/>
  <c r="E19" s="1"/>
  <c r="E9" s="1"/>
  <c r="E35" s="1"/>
  <c r="D25"/>
  <c r="F12" l="1"/>
  <c r="D10"/>
  <c r="D26"/>
  <c r="F26" s="1"/>
  <c r="G26" s="1"/>
  <c r="H26" s="1"/>
  <c r="F25"/>
  <c r="G25" s="1"/>
  <c r="H25" s="1"/>
  <c r="H19" s="1"/>
  <c r="D19"/>
  <c r="F10" l="1"/>
  <c r="G12"/>
  <c r="F19"/>
  <c r="D9"/>
  <c r="D35" s="1"/>
  <c r="H12" l="1"/>
  <c r="H10" s="1"/>
  <c r="H9" s="1"/>
  <c r="G10"/>
  <c r="G19"/>
  <c r="G9" s="1"/>
  <c r="F9"/>
  <c r="F35" s="1"/>
  <c r="G35" s="1"/>
  <c r="H35" s="1"/>
  <c r="D32" i="20" l="1"/>
  <c r="E32" s="1"/>
  <c r="D30"/>
  <c r="E30" s="1"/>
  <c r="F30" s="1"/>
  <c r="D29"/>
  <c r="E29" s="1"/>
  <c r="G25"/>
  <c r="D25"/>
  <c r="E25" s="1"/>
  <c r="F25" s="1"/>
  <c r="G24"/>
  <c r="H24" s="1"/>
  <c r="D24"/>
  <c r="E24" s="1"/>
  <c r="F24" s="1"/>
  <c r="G23"/>
  <c r="H23" s="1"/>
  <c r="D23"/>
  <c r="E23" s="1"/>
  <c r="F23" s="1"/>
  <c r="G22"/>
  <c r="H22" s="1"/>
  <c r="D22"/>
  <c r="D21"/>
  <c r="E21" s="1"/>
  <c r="D19"/>
  <c r="E19" s="1"/>
  <c r="F19" s="1"/>
  <c r="D18"/>
  <c r="E18" s="1"/>
  <c r="F18" s="1"/>
  <c r="D17"/>
  <c r="E17" s="1"/>
  <c r="F17" s="1"/>
  <c r="D16"/>
  <c r="E16" s="1"/>
  <c r="F16" s="1"/>
  <c r="E15"/>
  <c r="F15" s="1"/>
  <c r="E14"/>
  <c r="F14" s="1"/>
  <c r="D13"/>
  <c r="E13" s="1"/>
  <c r="F13" s="1"/>
  <c r="I11"/>
  <c r="H11"/>
  <c r="G11"/>
  <c r="E11"/>
  <c r="F11" s="1"/>
  <c r="I9"/>
  <c r="H9"/>
  <c r="D26" l="1"/>
  <c r="E26" s="1"/>
  <c r="F26" s="1"/>
  <c r="D12"/>
  <c r="E12" s="1"/>
  <c r="J11"/>
  <c r="F21"/>
  <c r="D27"/>
  <c r="E27" s="1"/>
  <c r="F27" s="1"/>
  <c r="F32"/>
  <c r="F31" s="1"/>
  <c r="E31"/>
  <c r="F29"/>
  <c r="F28" s="1"/>
  <c r="E28"/>
  <c r="E22"/>
  <c r="F22" s="1"/>
  <c r="D28"/>
  <c r="D31"/>
  <c r="D10" l="1"/>
  <c r="F12"/>
  <c r="F10" s="1"/>
  <c r="E10"/>
  <c r="D20"/>
  <c r="E20"/>
  <c r="F20"/>
  <c r="D9" l="1"/>
  <c r="D33" s="1"/>
  <c r="E33" s="1"/>
  <c r="F33" s="1"/>
  <c r="E9"/>
  <c r="F9"/>
</calcChain>
</file>

<file path=xl/sharedStrings.xml><?xml version="1.0" encoding="utf-8"?>
<sst xmlns="http://schemas.openxmlformats.org/spreadsheetml/2006/main" count="222" uniqueCount="121">
  <si>
    <t>Начислено</t>
  </si>
  <si>
    <t>Не доначислено населению за коммунальные услуги</t>
  </si>
  <si>
    <t>ИТОГО РАСХОДЫ</t>
  </si>
  <si>
    <t>Оплата долга Ветеранстрой</t>
  </si>
  <si>
    <t>Страхование лифтов</t>
  </si>
  <si>
    <t>Приложение к протоколу правления от________________2017г.</t>
  </si>
  <si>
    <t>Смета расходов на содержание ТСЖ "Седельникова,99"</t>
  </si>
  <si>
    <t>с___________________на 2017 г.</t>
  </si>
  <si>
    <t>Общая площадь 
помещений 7279,30</t>
  </si>
  <si>
    <t>кв.м.</t>
  </si>
  <si>
    <t>№ п/п</t>
  </si>
  <si>
    <t>Статья расходов</t>
  </si>
  <si>
    <t>Организация (поставщик)</t>
  </si>
  <si>
    <t>Сумма расходов в год</t>
  </si>
  <si>
    <t>Сумма расходов в месяц</t>
  </si>
  <si>
    <t>Затраты 
руб./кв.м.</t>
  </si>
  <si>
    <t>Содержание и техническое обслуживание общего имущества жилого дома</t>
  </si>
  <si>
    <t>1.1</t>
  </si>
  <si>
    <t>Расходы по управлению ТСЖ</t>
  </si>
  <si>
    <t>1.1.1</t>
  </si>
  <si>
    <t>вознаграждение председателя  правления ТСЖ</t>
  </si>
  <si>
    <t>ТСЖ "Седельникова,99"</t>
  </si>
  <si>
    <t>1.1.3</t>
  </si>
  <si>
    <t>Отчисления налогов и взносов от ФОТ</t>
  </si>
  <si>
    <t>1.1.4</t>
  </si>
  <si>
    <t>Старшие по подъезду</t>
  </si>
  <si>
    <t>1.1.5</t>
  </si>
  <si>
    <t>ЭЦП для сдачи электронной отчетности</t>
  </si>
  <si>
    <t>ООО "Компания Тензор"</t>
  </si>
  <si>
    <t>1.1.6</t>
  </si>
  <si>
    <t>ЭЦП для системы ГИС ЖКХ</t>
  </si>
  <si>
    <t>1.1.7</t>
  </si>
  <si>
    <t>Услуги банков по сбору денежных средств и обслуживание р/с и спец.счета</t>
  </si>
  <si>
    <t xml:space="preserve"> АКБ"Ижкомбанк" (ПАО), ПАО "Сбербанк"</t>
  </si>
  <si>
    <t>1.1.8</t>
  </si>
  <si>
    <t>Ведение бухгалтерского и налогового учета</t>
  </si>
  <si>
    <t>ООО "Административный ресурс"</t>
  </si>
  <si>
    <t>1.1.9</t>
  </si>
  <si>
    <t>Погашение задолженности перед РСО (5лет)</t>
  </si>
  <si>
    <t>1.1.10</t>
  </si>
  <si>
    <t>Минимальный налог в связи с применением упрощенной системы налогообложения</t>
  </si>
  <si>
    <t>Бюджет РФ</t>
  </si>
  <si>
    <t>1.2.</t>
  </si>
  <si>
    <t xml:space="preserve">Техническое обслуживание, содержание общего имущества 
</t>
  </si>
  <si>
    <t>1.2.1</t>
  </si>
  <si>
    <t xml:space="preserve"> услуги управляющего  ТСЖ</t>
  </si>
  <si>
    <t>1.2.2</t>
  </si>
  <si>
    <t>услуги по уборке мест общего пользования (подъезды)</t>
  </si>
  <si>
    <t>1.2.3</t>
  </si>
  <si>
    <t>услуги по уборке придомовой территории</t>
  </si>
  <si>
    <t>1.2.4</t>
  </si>
  <si>
    <t>обслуживание внутридомого инженерного оборудования, аварийно-диспетчерское обслуживание</t>
  </si>
  <si>
    <t>1.2.5</t>
  </si>
  <si>
    <t>обслуживание электрического оборудования</t>
  </si>
  <si>
    <t>1.2.6</t>
  </si>
  <si>
    <t>1.2.7</t>
  </si>
  <si>
    <t xml:space="preserve">Расходы на содержание МОП (хозматериалы и уборочный инвентарь), канц.товары, материалы на ремонт
</t>
  </si>
  <si>
    <t>3</t>
  </si>
  <si>
    <t>Расходы по содержанию лифтового оборудования</t>
  </si>
  <si>
    <t>3.1.1</t>
  </si>
  <si>
    <t>3.1.2.</t>
  </si>
  <si>
    <t>Освидетельствование и эл.измерит. Работы лифтового хозяйства</t>
  </si>
  <si>
    <t>4</t>
  </si>
  <si>
    <t>Юридические услуги</t>
  </si>
  <si>
    <t>4.1.1</t>
  </si>
  <si>
    <t>Работа с должниками (взыскание задолженности)</t>
  </si>
  <si>
    <t>ООО "ЦПК"</t>
  </si>
  <si>
    <t>ИТОГО затраты на месяц:</t>
  </si>
  <si>
    <t>Зарплата с 2016г.</t>
  </si>
  <si>
    <t>Должность</t>
  </si>
  <si>
    <t>На рyки</t>
  </si>
  <si>
    <t>НДФЛ</t>
  </si>
  <si>
    <t>взносы в ПФР</t>
  </si>
  <si>
    <t>бyхгалтер</t>
  </si>
  <si>
    <t>электрик</t>
  </si>
  <si>
    <t>сантехник (Саша Зверев)</t>
  </si>
  <si>
    <t>yправляющий</t>
  </si>
  <si>
    <t>дворник (бабyшка 1935г.р.-82года??)</t>
  </si>
  <si>
    <t>Прочие доходы (пени+Ростелеком)</t>
  </si>
  <si>
    <t>Понесены расходы по решению арбитражных сyдов, исполниельский сбор в ССП</t>
  </si>
  <si>
    <t>Аренда зала</t>
  </si>
  <si>
    <t>Дезинсекция</t>
  </si>
  <si>
    <t>Изготовление ключей, печати</t>
  </si>
  <si>
    <t>Приложение к протоколу общего собрания собственников от________________2017г.</t>
  </si>
  <si>
    <t>на 2017 г.</t>
  </si>
  <si>
    <t>Сумма расходов за янв-май</t>
  </si>
  <si>
    <t>Сумма расходов за июнь-декабрь</t>
  </si>
  <si>
    <t>Сумма расходов в среднем в месяц</t>
  </si>
  <si>
    <t>1.2.8.</t>
  </si>
  <si>
    <t>Непредвиденные расходы</t>
  </si>
  <si>
    <t>5</t>
  </si>
  <si>
    <t>Погашение задолженности перед РСО</t>
  </si>
  <si>
    <t>5.1.1</t>
  </si>
  <si>
    <t>Вознаграждение председателя</t>
  </si>
  <si>
    <t>Услуги управляющего  ТСЖ</t>
  </si>
  <si>
    <t>Услуги по уборке мест общего пользования (подъезды)</t>
  </si>
  <si>
    <t>Услуги по уборке придомовой территории</t>
  </si>
  <si>
    <t>Обслуживание внутридомого инженерного оборудования, аварийно-диспетчерское обслуживание</t>
  </si>
  <si>
    <t>Обслуживание электрического оборудования</t>
  </si>
  <si>
    <t>Консультационные услуги</t>
  </si>
  <si>
    <t>Обслуживание ОПУ</t>
  </si>
  <si>
    <t>Ремонт лифтов (замена тяговых канатов)</t>
  </si>
  <si>
    <t>Раскрытие информации</t>
  </si>
  <si>
    <t>Разработка дизайн проекта</t>
  </si>
  <si>
    <t>Подготовка дома к отопительному периоду</t>
  </si>
  <si>
    <t>Проверка вент. И дымовых каналов</t>
  </si>
  <si>
    <t>январь</t>
  </si>
  <si>
    <t xml:space="preserve">февраль </t>
  </si>
  <si>
    <t>март</t>
  </si>
  <si>
    <t>апрель</t>
  </si>
  <si>
    <t>май</t>
  </si>
  <si>
    <t>Техническое освидетельствование лифтов</t>
  </si>
  <si>
    <t>Установка метал.  Поручней</t>
  </si>
  <si>
    <t>Минимальный налог , платежи в бюджет</t>
  </si>
  <si>
    <t>План</t>
  </si>
  <si>
    <t>Факт</t>
  </si>
  <si>
    <t>Перерасход по смете</t>
  </si>
  <si>
    <t>Утверждено общим собранием собственников</t>
  </si>
  <si>
    <t>Отчет по смете доходов и расходов за 2017 год</t>
  </si>
  <si>
    <t>ТСН "Седельникова,99"</t>
  </si>
  <si>
    <t>Приложение №5 Протокол №1 от 09.04.2018г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</si>
</sst>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Bookman Old Style"/>
      <family val="1"/>
      <charset val="204"/>
    </font>
    <font>
      <b/>
      <i/>
      <sz val="12"/>
      <name val="Arial Cyr"/>
      <charset val="204"/>
    </font>
    <font>
      <b/>
      <sz val="11"/>
      <name val="Bookman Old Style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6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</cellStyleXfs>
  <cellXfs count="6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/>
    </xf>
    <xf numFmtId="4" fontId="7" fillId="4" borderId="1" xfId="0" applyNumberFormat="1" applyFont="1" applyFill="1" applyBorder="1"/>
    <xf numFmtId="9" fontId="2" fillId="0" borderId="0" xfId="3" applyFont="1"/>
    <xf numFmtId="0" fontId="8" fillId="0" borderId="2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4" fontId="11" fillId="0" borderId="0" xfId="0" applyNumberFormat="1" applyFont="1" applyFill="1" applyBorder="1"/>
    <xf numFmtId="4" fontId="12" fillId="0" borderId="0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Fill="1" applyBorder="1"/>
    <xf numFmtId="4" fontId="14" fillId="0" borderId="1" xfId="0" applyNumberFormat="1" applyFont="1" applyFill="1" applyBorder="1"/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/>
    <xf numFmtId="4" fontId="14" fillId="5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Border="1"/>
    <xf numFmtId="0" fontId="13" fillId="2" borderId="1" xfId="0" applyFont="1" applyFill="1" applyBorder="1"/>
    <xf numFmtId="4" fontId="14" fillId="5" borderId="1" xfId="0" applyNumberFormat="1" applyFont="1" applyFill="1" applyBorder="1" applyAlignment="1">
      <alignment wrapText="1"/>
    </xf>
    <xf numFmtId="4" fontId="13" fillId="2" borderId="1" xfId="0" applyNumberFormat="1" applyFont="1" applyFill="1" applyBorder="1"/>
    <xf numFmtId="0" fontId="13" fillId="3" borderId="1" xfId="0" applyFont="1" applyFill="1" applyBorder="1"/>
    <xf numFmtId="4" fontId="13" fillId="3" borderId="1" xfId="0" applyNumberFormat="1" applyFont="1" applyFill="1" applyBorder="1"/>
    <xf numFmtId="2" fontId="13" fillId="2" borderId="1" xfId="0" applyNumberFormat="1" applyFont="1" applyFill="1" applyBorder="1" applyAlignment="1">
      <alignment wrapText="1"/>
    </xf>
    <xf numFmtId="2" fontId="13" fillId="4" borderId="1" xfId="0" applyNumberFormat="1" applyFont="1" applyFill="1" applyBorder="1" applyAlignment="1">
      <alignment wrapText="1"/>
    </xf>
    <xf numFmtId="4" fontId="13" fillId="4" borderId="1" xfId="0" applyNumberFormat="1" applyFont="1" applyFill="1" applyBorder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Процентный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workbookViewId="0">
      <selection activeCell="A11" sqref="A11"/>
    </sheetView>
  </sheetViews>
  <sheetFormatPr defaultColWidth="8.85546875" defaultRowHeight="12"/>
  <cols>
    <col min="1" max="1" width="109.42578125" style="27" customWidth="1"/>
    <col min="2" max="3" width="35.28515625" style="27" customWidth="1"/>
    <col min="4" max="4" width="16.42578125" style="28" customWidth="1"/>
    <col min="5" max="5" width="18.85546875" style="28" hidden="1" customWidth="1"/>
    <col min="6" max="6" width="15.42578125" style="28" hidden="1" customWidth="1"/>
    <col min="7" max="8" width="15.140625" style="28" hidden="1" customWidth="1"/>
    <col min="9" max="9" width="13.5703125" style="27" hidden="1" customWidth="1"/>
    <col min="10" max="10" width="13.28515625" style="28" customWidth="1"/>
    <col min="11" max="11" width="32.28515625" style="27" bestFit="1" customWidth="1"/>
    <col min="12" max="12" width="8.85546875" style="27"/>
    <col min="13" max="13" width="9.85546875" style="27" bestFit="1" customWidth="1"/>
    <col min="14" max="16384" width="8.85546875" style="27"/>
  </cols>
  <sheetData>
    <row r="1" spans="1:4" ht="20.25">
      <c r="A1" s="53" t="s">
        <v>117</v>
      </c>
      <c r="B1" s="53"/>
      <c r="C1" s="53"/>
    </row>
    <row r="2" spans="1:4" ht="20.25">
      <c r="A2" s="64" t="s">
        <v>120</v>
      </c>
      <c r="B2" s="64"/>
      <c r="C2" s="64"/>
    </row>
    <row r="3" spans="1:4" ht="20.25">
      <c r="A3" s="54" t="s">
        <v>118</v>
      </c>
      <c r="B3" s="54"/>
      <c r="C3" s="54"/>
    </row>
    <row r="4" spans="1:4" ht="20.25">
      <c r="A4" s="55" t="s">
        <v>119</v>
      </c>
      <c r="B4" s="55"/>
      <c r="C4" s="55"/>
    </row>
    <row r="5" spans="1:4" ht="26.25">
      <c r="A5" s="35"/>
      <c r="B5" s="36" t="s">
        <v>114</v>
      </c>
      <c r="C5" s="35" t="s">
        <v>115</v>
      </c>
      <c r="D5" s="34"/>
    </row>
    <row r="6" spans="1:4" ht="26.25">
      <c r="A6" s="37" t="s">
        <v>93</v>
      </c>
      <c r="B6" s="38">
        <v>75000</v>
      </c>
      <c r="C6" s="38">
        <v>79000</v>
      </c>
      <c r="D6" s="30"/>
    </row>
    <row r="7" spans="1:4" ht="26.25">
      <c r="A7" s="37" t="s">
        <v>23</v>
      </c>
      <c r="B7" s="38">
        <f>58080+95557.44</f>
        <v>153637.44</v>
      </c>
      <c r="C7" s="38">
        <v>113194.11000000004</v>
      </c>
      <c r="D7" s="30"/>
    </row>
    <row r="8" spans="1:4" ht="26.25">
      <c r="A8" s="37" t="s">
        <v>25</v>
      </c>
      <c r="B8" s="38">
        <v>48000</v>
      </c>
      <c r="C8" s="38">
        <v>47500</v>
      </c>
      <c r="D8" s="30"/>
    </row>
    <row r="9" spans="1:4" ht="26.25">
      <c r="A9" s="37" t="s">
        <v>27</v>
      </c>
      <c r="B9" s="38">
        <v>2850</v>
      </c>
      <c r="C9" s="39">
        <v>2850</v>
      </c>
      <c r="D9" s="30"/>
    </row>
    <row r="10" spans="1:4" ht="26.25">
      <c r="A10" s="37" t="s">
        <v>30</v>
      </c>
      <c r="B10" s="38">
        <v>2000</v>
      </c>
      <c r="C10" s="38">
        <v>2000</v>
      </c>
      <c r="D10" s="30"/>
    </row>
    <row r="11" spans="1:4" ht="52.5">
      <c r="A11" s="37" t="s">
        <v>32</v>
      </c>
      <c r="B11" s="38">
        <v>131803.79999999999</v>
      </c>
      <c r="C11" s="39">
        <v>110991.5</v>
      </c>
      <c r="D11" s="30"/>
    </row>
    <row r="12" spans="1:4" ht="26.25">
      <c r="A12" s="37" t="s">
        <v>35</v>
      </c>
      <c r="B12" s="38">
        <v>42000</v>
      </c>
      <c r="C12" s="39">
        <v>38302</v>
      </c>
      <c r="D12" s="30"/>
    </row>
    <row r="13" spans="1:4" ht="26.25">
      <c r="A13" s="37" t="s">
        <v>113</v>
      </c>
      <c r="B13" s="38">
        <v>84000</v>
      </c>
      <c r="C13" s="39">
        <v>38923.85</v>
      </c>
      <c r="D13" s="30"/>
    </row>
    <row r="14" spans="1:4" ht="26.25">
      <c r="A14" s="37" t="s">
        <v>94</v>
      </c>
      <c r="B14" s="38">
        <v>31230</v>
      </c>
      <c r="C14" s="39">
        <v>30037</v>
      </c>
      <c r="D14" s="30"/>
    </row>
    <row r="15" spans="1:4" ht="26.25">
      <c r="A15" s="37" t="s">
        <v>95</v>
      </c>
      <c r="B15" s="38">
        <v>71112</v>
      </c>
      <c r="C15" s="39">
        <v>72155</v>
      </c>
      <c r="D15" s="30"/>
    </row>
    <row r="16" spans="1:4" ht="26.25">
      <c r="A16" s="37" t="s">
        <v>96</v>
      </c>
      <c r="B16" s="38">
        <v>63444</v>
      </c>
      <c r="C16" s="39">
        <v>62438</v>
      </c>
      <c r="D16" s="30"/>
    </row>
    <row r="17" spans="1:10" ht="52.5">
      <c r="A17" s="37" t="s">
        <v>97</v>
      </c>
      <c r="B17" s="38">
        <v>74016</v>
      </c>
      <c r="C17" s="39">
        <v>80748</v>
      </c>
      <c r="D17" s="30"/>
    </row>
    <row r="18" spans="1:10" ht="26.25">
      <c r="A18" s="37" t="s">
        <v>98</v>
      </c>
      <c r="B18" s="38">
        <v>31668</v>
      </c>
      <c r="C18" s="39">
        <v>38651.75</v>
      </c>
      <c r="D18" s="30"/>
    </row>
    <row r="19" spans="1:10" ht="78.75">
      <c r="A19" s="37" t="s">
        <v>56</v>
      </c>
      <c r="B19" s="38">
        <v>30727.49</v>
      </c>
      <c r="C19" s="39">
        <v>37534.6</v>
      </c>
      <c r="D19" s="30"/>
    </row>
    <row r="20" spans="1:10" ht="26.25">
      <c r="A20" s="37" t="s">
        <v>4</v>
      </c>
      <c r="B20" s="38">
        <v>3600</v>
      </c>
      <c r="C20" s="39">
        <v>2000</v>
      </c>
      <c r="D20" s="30"/>
    </row>
    <row r="21" spans="1:10" ht="26.25">
      <c r="A21" s="37" t="s">
        <v>111</v>
      </c>
      <c r="B21" s="38">
        <v>15600</v>
      </c>
      <c r="C21" s="39">
        <v>15840</v>
      </c>
      <c r="D21" s="30"/>
    </row>
    <row r="22" spans="1:10" ht="26.25">
      <c r="A22" s="37" t="s">
        <v>63</v>
      </c>
      <c r="B22" s="38">
        <v>20400</v>
      </c>
      <c r="C22" s="39">
        <v>17656.920000000002</v>
      </c>
      <c r="D22" s="30"/>
    </row>
    <row r="23" spans="1:10" ht="26.25">
      <c r="A23" s="37" t="s">
        <v>91</v>
      </c>
      <c r="B23" s="38">
        <v>437000</v>
      </c>
      <c r="C23" s="39">
        <v>144000</v>
      </c>
      <c r="D23" s="30"/>
    </row>
    <row r="24" spans="1:10" ht="26.25">
      <c r="A24" s="40" t="s">
        <v>89</v>
      </c>
      <c r="B24" s="41">
        <v>66000</v>
      </c>
      <c r="C24" s="42">
        <v>486661.19</v>
      </c>
      <c r="D24" s="30"/>
    </row>
    <row r="25" spans="1:10" s="31" customFormat="1" ht="26.25">
      <c r="A25" s="43" t="s">
        <v>104</v>
      </c>
      <c r="B25" s="38"/>
      <c r="C25" s="39">
        <v>10000</v>
      </c>
      <c r="D25" s="33"/>
      <c r="E25" s="32"/>
      <c r="F25" s="32"/>
      <c r="G25" s="32"/>
      <c r="H25" s="32"/>
      <c r="J25" s="32"/>
    </row>
    <row r="26" spans="1:10" ht="26.25">
      <c r="A26" s="37" t="s">
        <v>99</v>
      </c>
      <c r="B26" s="44"/>
      <c r="C26" s="39">
        <v>24500</v>
      </c>
      <c r="D26" s="29"/>
    </row>
    <row r="27" spans="1:10" ht="26.25">
      <c r="A27" s="37" t="s">
        <v>100</v>
      </c>
      <c r="B27" s="38"/>
      <c r="C27" s="38">
        <v>7000</v>
      </c>
      <c r="D27" s="30"/>
    </row>
    <row r="28" spans="1:10" ht="26.25">
      <c r="A28" s="37" t="s">
        <v>103</v>
      </c>
      <c r="B28" s="38"/>
      <c r="C28" s="38">
        <v>6029.1</v>
      </c>
      <c r="D28" s="30"/>
    </row>
    <row r="29" spans="1:10" ht="26.25">
      <c r="A29" s="37" t="s">
        <v>101</v>
      </c>
      <c r="B29" s="38"/>
      <c r="C29" s="39">
        <v>147059.70000000001</v>
      </c>
      <c r="D29" s="30"/>
    </row>
    <row r="30" spans="1:10" ht="26.25">
      <c r="A30" s="37" t="s">
        <v>102</v>
      </c>
      <c r="B30" s="38"/>
      <c r="C30" s="39">
        <v>4305</v>
      </c>
      <c r="D30" s="30"/>
    </row>
    <row r="31" spans="1:10" ht="26.25">
      <c r="A31" s="37" t="s">
        <v>112</v>
      </c>
      <c r="B31" s="38"/>
      <c r="C31" s="39">
        <v>13000</v>
      </c>
      <c r="D31" s="30"/>
    </row>
    <row r="32" spans="1:10" ht="26.25">
      <c r="A32" s="37" t="s">
        <v>3</v>
      </c>
      <c r="B32" s="38"/>
      <c r="C32" s="39">
        <v>25167.52</v>
      </c>
      <c r="D32" s="30"/>
    </row>
    <row r="33" spans="1:4" ht="26.25">
      <c r="A33" s="37" t="s">
        <v>81</v>
      </c>
      <c r="B33" s="38"/>
      <c r="C33" s="39">
        <v>4290</v>
      </c>
      <c r="D33" s="30"/>
    </row>
    <row r="34" spans="1:4" ht="52.5">
      <c r="A34" s="37" t="s">
        <v>79</v>
      </c>
      <c r="B34" s="38"/>
      <c r="C34" s="39">
        <v>231849.87</v>
      </c>
      <c r="D34" s="30"/>
    </row>
    <row r="35" spans="1:4" ht="26.25">
      <c r="A35" s="37" t="s">
        <v>80</v>
      </c>
      <c r="B35" s="38"/>
      <c r="C35" s="39">
        <v>2000</v>
      </c>
      <c r="D35" s="30"/>
    </row>
    <row r="36" spans="1:4" ht="26.25">
      <c r="A36" s="37" t="s">
        <v>105</v>
      </c>
      <c r="B36" s="38"/>
      <c r="C36" s="39">
        <v>9720</v>
      </c>
      <c r="D36" s="30"/>
    </row>
    <row r="37" spans="1:4" ht="26.25">
      <c r="A37" s="37" t="s">
        <v>82</v>
      </c>
      <c r="B37" s="38"/>
      <c r="C37" s="39">
        <v>1740</v>
      </c>
      <c r="D37" s="30"/>
    </row>
    <row r="38" spans="1:4" ht="26.25">
      <c r="A38" s="45" t="s">
        <v>2</v>
      </c>
      <c r="B38" s="46">
        <f>SUM(B6:B24)</f>
        <v>1384088.73</v>
      </c>
      <c r="C38" s="47">
        <v>1420483.9200000002</v>
      </c>
      <c r="D38" s="30"/>
    </row>
    <row r="39" spans="1:4" ht="26.25">
      <c r="A39" s="48" t="s">
        <v>0</v>
      </c>
      <c r="B39" s="44"/>
      <c r="C39" s="49">
        <v>1200268.3400000003</v>
      </c>
      <c r="D39" s="30"/>
    </row>
    <row r="40" spans="1:4" ht="26.25">
      <c r="A40" s="48" t="s">
        <v>78</v>
      </c>
      <c r="B40" s="44"/>
      <c r="C40" s="49">
        <v>219015.12</v>
      </c>
      <c r="D40" s="30"/>
    </row>
    <row r="41" spans="1:4" ht="26.25">
      <c r="A41" s="50" t="s">
        <v>1</v>
      </c>
      <c r="B41" s="44"/>
      <c r="C41" s="47">
        <v>107796.93000000012</v>
      </c>
      <c r="D41" s="30"/>
    </row>
    <row r="42" spans="1:4" ht="26.25">
      <c r="A42" s="51" t="s">
        <v>116</v>
      </c>
      <c r="B42" s="44"/>
      <c r="C42" s="52">
        <v>106596.47000000007</v>
      </c>
      <c r="D42" s="30"/>
    </row>
  </sheetData>
  <mergeCells count="4">
    <mergeCell ref="A1:C1"/>
    <mergeCell ref="A2:C2"/>
    <mergeCell ref="A3:C3"/>
    <mergeCell ref="A4:C4"/>
  </mergeCells>
  <conditionalFormatting sqref="D6:D24 D38">
    <cfRule type="cellIs" dxfId="0" priority="4" operator="lessThan">
      <formula>0</formula>
    </cfRule>
    <cfRule type="colorScale" priority="6">
      <colorScale>
        <cfvo type="num" val="-1000000"/>
        <cfvo type="num" val="100000"/>
        <color rgb="FFFF7128"/>
        <color rgb="FF92D050"/>
      </colorScale>
    </cfRule>
  </conditionalFormatting>
  <conditionalFormatting sqref="D6:D23 D38">
    <cfRule type="colorScale" priority="5">
      <colorScale>
        <cfvo type="formula" val="$D$6&lt;0"/>
        <cfvo type="formula" val="$D$6&gt;0"/>
        <color rgb="FFFF7128"/>
        <color rgb="FF92D050"/>
      </colorScale>
    </cfRule>
  </conditionalFormatting>
  <pageMargins left="0.7" right="0.7" top="0.75" bottom="0.75" header="0.3" footer="0.3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9" zoomScale="75" zoomScaleNormal="75" workbookViewId="0">
      <selection activeCell="D20" sqref="D20"/>
    </sheetView>
  </sheetViews>
  <sheetFormatPr defaultRowHeight="15"/>
  <cols>
    <col min="1" max="1" width="12.7109375" style="1" customWidth="1"/>
    <col min="2" max="2" width="44.28515625" style="1" customWidth="1"/>
    <col min="3" max="3" width="23.140625" style="1" customWidth="1"/>
    <col min="4" max="4" width="15.5703125" style="1" bestFit="1" customWidth="1"/>
    <col min="5" max="6" width="15.5703125" style="1" customWidth="1"/>
    <col min="7" max="7" width="14.7109375" style="1" customWidth="1"/>
    <col min="8" max="8" width="23" style="1" bestFit="1" customWidth="1"/>
    <col min="9" max="9" width="21.7109375" style="1" customWidth="1"/>
    <col min="10" max="256" width="8.85546875" style="1"/>
    <col min="257" max="257" width="12.7109375" style="1" customWidth="1"/>
    <col min="258" max="258" width="44.28515625" style="1" customWidth="1"/>
    <col min="259" max="259" width="23.140625" style="1" customWidth="1"/>
    <col min="260" max="260" width="15.5703125" style="1" bestFit="1" customWidth="1"/>
    <col min="261" max="262" width="15.5703125" style="1" customWidth="1"/>
    <col min="263" max="263" width="14.7109375" style="1" customWidth="1"/>
    <col min="264" max="264" width="23" style="1" bestFit="1" customWidth="1"/>
    <col min="265" max="265" width="21.7109375" style="1" customWidth="1"/>
    <col min="266" max="512" width="8.85546875" style="1"/>
    <col min="513" max="513" width="12.7109375" style="1" customWidth="1"/>
    <col min="514" max="514" width="44.28515625" style="1" customWidth="1"/>
    <col min="515" max="515" width="23.140625" style="1" customWidth="1"/>
    <col min="516" max="516" width="15.5703125" style="1" bestFit="1" customWidth="1"/>
    <col min="517" max="518" width="15.5703125" style="1" customWidth="1"/>
    <col min="519" max="519" width="14.7109375" style="1" customWidth="1"/>
    <col min="520" max="520" width="23" style="1" bestFit="1" customWidth="1"/>
    <col min="521" max="521" width="21.7109375" style="1" customWidth="1"/>
    <col min="522" max="768" width="8.85546875" style="1"/>
    <col min="769" max="769" width="12.7109375" style="1" customWidth="1"/>
    <col min="770" max="770" width="44.28515625" style="1" customWidth="1"/>
    <col min="771" max="771" width="23.140625" style="1" customWidth="1"/>
    <col min="772" max="772" width="15.5703125" style="1" bestFit="1" customWidth="1"/>
    <col min="773" max="774" width="15.5703125" style="1" customWidth="1"/>
    <col min="775" max="775" width="14.7109375" style="1" customWidth="1"/>
    <col min="776" max="776" width="23" style="1" bestFit="1" customWidth="1"/>
    <col min="777" max="777" width="21.7109375" style="1" customWidth="1"/>
    <col min="778" max="1024" width="8.85546875" style="1"/>
    <col min="1025" max="1025" width="12.7109375" style="1" customWidth="1"/>
    <col min="1026" max="1026" width="44.28515625" style="1" customWidth="1"/>
    <col min="1027" max="1027" width="23.140625" style="1" customWidth="1"/>
    <col min="1028" max="1028" width="15.5703125" style="1" bestFit="1" customWidth="1"/>
    <col min="1029" max="1030" width="15.5703125" style="1" customWidth="1"/>
    <col min="1031" max="1031" width="14.7109375" style="1" customWidth="1"/>
    <col min="1032" max="1032" width="23" style="1" bestFit="1" customWidth="1"/>
    <col min="1033" max="1033" width="21.7109375" style="1" customWidth="1"/>
    <col min="1034" max="1280" width="8.85546875" style="1"/>
    <col min="1281" max="1281" width="12.7109375" style="1" customWidth="1"/>
    <col min="1282" max="1282" width="44.28515625" style="1" customWidth="1"/>
    <col min="1283" max="1283" width="23.140625" style="1" customWidth="1"/>
    <col min="1284" max="1284" width="15.5703125" style="1" bestFit="1" customWidth="1"/>
    <col min="1285" max="1286" width="15.5703125" style="1" customWidth="1"/>
    <col min="1287" max="1287" width="14.7109375" style="1" customWidth="1"/>
    <col min="1288" max="1288" width="23" style="1" bestFit="1" customWidth="1"/>
    <col min="1289" max="1289" width="21.7109375" style="1" customWidth="1"/>
    <col min="1290" max="1536" width="8.85546875" style="1"/>
    <col min="1537" max="1537" width="12.7109375" style="1" customWidth="1"/>
    <col min="1538" max="1538" width="44.28515625" style="1" customWidth="1"/>
    <col min="1539" max="1539" width="23.140625" style="1" customWidth="1"/>
    <col min="1540" max="1540" width="15.5703125" style="1" bestFit="1" customWidth="1"/>
    <col min="1541" max="1542" width="15.5703125" style="1" customWidth="1"/>
    <col min="1543" max="1543" width="14.7109375" style="1" customWidth="1"/>
    <col min="1544" max="1544" width="23" style="1" bestFit="1" customWidth="1"/>
    <col min="1545" max="1545" width="21.7109375" style="1" customWidth="1"/>
    <col min="1546" max="1792" width="8.85546875" style="1"/>
    <col min="1793" max="1793" width="12.7109375" style="1" customWidth="1"/>
    <col min="1794" max="1794" width="44.28515625" style="1" customWidth="1"/>
    <col min="1795" max="1795" width="23.140625" style="1" customWidth="1"/>
    <col min="1796" max="1796" width="15.5703125" style="1" bestFit="1" customWidth="1"/>
    <col min="1797" max="1798" width="15.5703125" style="1" customWidth="1"/>
    <col min="1799" max="1799" width="14.7109375" style="1" customWidth="1"/>
    <col min="1800" max="1800" width="23" style="1" bestFit="1" customWidth="1"/>
    <col min="1801" max="1801" width="21.7109375" style="1" customWidth="1"/>
    <col min="1802" max="2048" width="8.85546875" style="1"/>
    <col min="2049" max="2049" width="12.7109375" style="1" customWidth="1"/>
    <col min="2050" max="2050" width="44.28515625" style="1" customWidth="1"/>
    <col min="2051" max="2051" width="23.140625" style="1" customWidth="1"/>
    <col min="2052" max="2052" width="15.5703125" style="1" bestFit="1" customWidth="1"/>
    <col min="2053" max="2054" width="15.5703125" style="1" customWidth="1"/>
    <col min="2055" max="2055" width="14.7109375" style="1" customWidth="1"/>
    <col min="2056" max="2056" width="23" style="1" bestFit="1" customWidth="1"/>
    <col min="2057" max="2057" width="21.7109375" style="1" customWidth="1"/>
    <col min="2058" max="2304" width="8.85546875" style="1"/>
    <col min="2305" max="2305" width="12.7109375" style="1" customWidth="1"/>
    <col min="2306" max="2306" width="44.28515625" style="1" customWidth="1"/>
    <col min="2307" max="2307" width="23.140625" style="1" customWidth="1"/>
    <col min="2308" max="2308" width="15.5703125" style="1" bestFit="1" customWidth="1"/>
    <col min="2309" max="2310" width="15.5703125" style="1" customWidth="1"/>
    <col min="2311" max="2311" width="14.7109375" style="1" customWidth="1"/>
    <col min="2312" max="2312" width="23" style="1" bestFit="1" customWidth="1"/>
    <col min="2313" max="2313" width="21.7109375" style="1" customWidth="1"/>
    <col min="2314" max="2560" width="8.85546875" style="1"/>
    <col min="2561" max="2561" width="12.7109375" style="1" customWidth="1"/>
    <col min="2562" max="2562" width="44.28515625" style="1" customWidth="1"/>
    <col min="2563" max="2563" width="23.140625" style="1" customWidth="1"/>
    <col min="2564" max="2564" width="15.5703125" style="1" bestFit="1" customWidth="1"/>
    <col min="2565" max="2566" width="15.5703125" style="1" customWidth="1"/>
    <col min="2567" max="2567" width="14.7109375" style="1" customWidth="1"/>
    <col min="2568" max="2568" width="23" style="1" bestFit="1" customWidth="1"/>
    <col min="2569" max="2569" width="21.7109375" style="1" customWidth="1"/>
    <col min="2570" max="2816" width="8.85546875" style="1"/>
    <col min="2817" max="2817" width="12.7109375" style="1" customWidth="1"/>
    <col min="2818" max="2818" width="44.28515625" style="1" customWidth="1"/>
    <col min="2819" max="2819" width="23.140625" style="1" customWidth="1"/>
    <col min="2820" max="2820" width="15.5703125" style="1" bestFit="1" customWidth="1"/>
    <col min="2821" max="2822" width="15.5703125" style="1" customWidth="1"/>
    <col min="2823" max="2823" width="14.7109375" style="1" customWidth="1"/>
    <col min="2824" max="2824" width="23" style="1" bestFit="1" customWidth="1"/>
    <col min="2825" max="2825" width="21.7109375" style="1" customWidth="1"/>
    <col min="2826" max="3072" width="8.85546875" style="1"/>
    <col min="3073" max="3073" width="12.7109375" style="1" customWidth="1"/>
    <col min="3074" max="3074" width="44.28515625" style="1" customWidth="1"/>
    <col min="3075" max="3075" width="23.140625" style="1" customWidth="1"/>
    <col min="3076" max="3076" width="15.5703125" style="1" bestFit="1" customWidth="1"/>
    <col min="3077" max="3078" width="15.5703125" style="1" customWidth="1"/>
    <col min="3079" max="3079" width="14.7109375" style="1" customWidth="1"/>
    <col min="3080" max="3080" width="23" style="1" bestFit="1" customWidth="1"/>
    <col min="3081" max="3081" width="21.7109375" style="1" customWidth="1"/>
    <col min="3082" max="3328" width="8.85546875" style="1"/>
    <col min="3329" max="3329" width="12.7109375" style="1" customWidth="1"/>
    <col min="3330" max="3330" width="44.28515625" style="1" customWidth="1"/>
    <col min="3331" max="3331" width="23.140625" style="1" customWidth="1"/>
    <col min="3332" max="3332" width="15.5703125" style="1" bestFit="1" customWidth="1"/>
    <col min="3333" max="3334" width="15.5703125" style="1" customWidth="1"/>
    <col min="3335" max="3335" width="14.7109375" style="1" customWidth="1"/>
    <col min="3336" max="3336" width="23" style="1" bestFit="1" customWidth="1"/>
    <col min="3337" max="3337" width="21.7109375" style="1" customWidth="1"/>
    <col min="3338" max="3584" width="8.85546875" style="1"/>
    <col min="3585" max="3585" width="12.7109375" style="1" customWidth="1"/>
    <col min="3586" max="3586" width="44.28515625" style="1" customWidth="1"/>
    <col min="3587" max="3587" width="23.140625" style="1" customWidth="1"/>
    <col min="3588" max="3588" width="15.5703125" style="1" bestFit="1" customWidth="1"/>
    <col min="3589" max="3590" width="15.5703125" style="1" customWidth="1"/>
    <col min="3591" max="3591" width="14.7109375" style="1" customWidth="1"/>
    <col min="3592" max="3592" width="23" style="1" bestFit="1" customWidth="1"/>
    <col min="3593" max="3593" width="21.7109375" style="1" customWidth="1"/>
    <col min="3594" max="3840" width="8.85546875" style="1"/>
    <col min="3841" max="3841" width="12.7109375" style="1" customWidth="1"/>
    <col min="3842" max="3842" width="44.28515625" style="1" customWidth="1"/>
    <col min="3843" max="3843" width="23.140625" style="1" customWidth="1"/>
    <col min="3844" max="3844" width="15.5703125" style="1" bestFit="1" customWidth="1"/>
    <col min="3845" max="3846" width="15.5703125" style="1" customWidth="1"/>
    <col min="3847" max="3847" width="14.7109375" style="1" customWidth="1"/>
    <col min="3848" max="3848" width="23" style="1" bestFit="1" customWidth="1"/>
    <col min="3849" max="3849" width="21.7109375" style="1" customWidth="1"/>
    <col min="3850" max="4096" width="8.85546875" style="1"/>
    <col min="4097" max="4097" width="12.7109375" style="1" customWidth="1"/>
    <col min="4098" max="4098" width="44.28515625" style="1" customWidth="1"/>
    <col min="4099" max="4099" width="23.140625" style="1" customWidth="1"/>
    <col min="4100" max="4100" width="15.5703125" style="1" bestFit="1" customWidth="1"/>
    <col min="4101" max="4102" width="15.5703125" style="1" customWidth="1"/>
    <col min="4103" max="4103" width="14.7109375" style="1" customWidth="1"/>
    <col min="4104" max="4104" width="23" style="1" bestFit="1" customWidth="1"/>
    <col min="4105" max="4105" width="21.7109375" style="1" customWidth="1"/>
    <col min="4106" max="4352" width="8.85546875" style="1"/>
    <col min="4353" max="4353" width="12.7109375" style="1" customWidth="1"/>
    <col min="4354" max="4354" width="44.28515625" style="1" customWidth="1"/>
    <col min="4355" max="4355" width="23.140625" style="1" customWidth="1"/>
    <col min="4356" max="4356" width="15.5703125" style="1" bestFit="1" customWidth="1"/>
    <col min="4357" max="4358" width="15.5703125" style="1" customWidth="1"/>
    <col min="4359" max="4359" width="14.7109375" style="1" customWidth="1"/>
    <col min="4360" max="4360" width="23" style="1" bestFit="1" customWidth="1"/>
    <col min="4361" max="4361" width="21.7109375" style="1" customWidth="1"/>
    <col min="4362" max="4608" width="8.85546875" style="1"/>
    <col min="4609" max="4609" width="12.7109375" style="1" customWidth="1"/>
    <col min="4610" max="4610" width="44.28515625" style="1" customWidth="1"/>
    <col min="4611" max="4611" width="23.140625" style="1" customWidth="1"/>
    <col min="4612" max="4612" width="15.5703125" style="1" bestFit="1" customWidth="1"/>
    <col min="4613" max="4614" width="15.5703125" style="1" customWidth="1"/>
    <col min="4615" max="4615" width="14.7109375" style="1" customWidth="1"/>
    <col min="4616" max="4616" width="23" style="1" bestFit="1" customWidth="1"/>
    <col min="4617" max="4617" width="21.7109375" style="1" customWidth="1"/>
    <col min="4618" max="4864" width="8.85546875" style="1"/>
    <col min="4865" max="4865" width="12.7109375" style="1" customWidth="1"/>
    <col min="4866" max="4866" width="44.28515625" style="1" customWidth="1"/>
    <col min="4867" max="4867" width="23.140625" style="1" customWidth="1"/>
    <col min="4868" max="4868" width="15.5703125" style="1" bestFit="1" customWidth="1"/>
    <col min="4869" max="4870" width="15.5703125" style="1" customWidth="1"/>
    <col min="4871" max="4871" width="14.7109375" style="1" customWidth="1"/>
    <col min="4872" max="4872" width="23" style="1" bestFit="1" customWidth="1"/>
    <col min="4873" max="4873" width="21.7109375" style="1" customWidth="1"/>
    <col min="4874" max="5120" width="8.85546875" style="1"/>
    <col min="5121" max="5121" width="12.7109375" style="1" customWidth="1"/>
    <col min="5122" max="5122" width="44.28515625" style="1" customWidth="1"/>
    <col min="5123" max="5123" width="23.140625" style="1" customWidth="1"/>
    <col min="5124" max="5124" width="15.5703125" style="1" bestFit="1" customWidth="1"/>
    <col min="5125" max="5126" width="15.5703125" style="1" customWidth="1"/>
    <col min="5127" max="5127" width="14.7109375" style="1" customWidth="1"/>
    <col min="5128" max="5128" width="23" style="1" bestFit="1" customWidth="1"/>
    <col min="5129" max="5129" width="21.7109375" style="1" customWidth="1"/>
    <col min="5130" max="5376" width="8.85546875" style="1"/>
    <col min="5377" max="5377" width="12.7109375" style="1" customWidth="1"/>
    <col min="5378" max="5378" width="44.28515625" style="1" customWidth="1"/>
    <col min="5379" max="5379" width="23.140625" style="1" customWidth="1"/>
    <col min="5380" max="5380" width="15.5703125" style="1" bestFit="1" customWidth="1"/>
    <col min="5381" max="5382" width="15.5703125" style="1" customWidth="1"/>
    <col min="5383" max="5383" width="14.7109375" style="1" customWidth="1"/>
    <col min="5384" max="5384" width="23" style="1" bestFit="1" customWidth="1"/>
    <col min="5385" max="5385" width="21.7109375" style="1" customWidth="1"/>
    <col min="5386" max="5632" width="8.85546875" style="1"/>
    <col min="5633" max="5633" width="12.7109375" style="1" customWidth="1"/>
    <col min="5634" max="5634" width="44.28515625" style="1" customWidth="1"/>
    <col min="5635" max="5635" width="23.140625" style="1" customWidth="1"/>
    <col min="5636" max="5636" width="15.5703125" style="1" bestFit="1" customWidth="1"/>
    <col min="5637" max="5638" width="15.5703125" style="1" customWidth="1"/>
    <col min="5639" max="5639" width="14.7109375" style="1" customWidth="1"/>
    <col min="5640" max="5640" width="23" style="1" bestFit="1" customWidth="1"/>
    <col min="5641" max="5641" width="21.7109375" style="1" customWidth="1"/>
    <col min="5642" max="5888" width="8.85546875" style="1"/>
    <col min="5889" max="5889" width="12.7109375" style="1" customWidth="1"/>
    <col min="5890" max="5890" width="44.28515625" style="1" customWidth="1"/>
    <col min="5891" max="5891" width="23.140625" style="1" customWidth="1"/>
    <col min="5892" max="5892" width="15.5703125" style="1" bestFit="1" customWidth="1"/>
    <col min="5893" max="5894" width="15.5703125" style="1" customWidth="1"/>
    <col min="5895" max="5895" width="14.7109375" style="1" customWidth="1"/>
    <col min="5896" max="5896" width="23" style="1" bestFit="1" customWidth="1"/>
    <col min="5897" max="5897" width="21.7109375" style="1" customWidth="1"/>
    <col min="5898" max="6144" width="8.85546875" style="1"/>
    <col min="6145" max="6145" width="12.7109375" style="1" customWidth="1"/>
    <col min="6146" max="6146" width="44.28515625" style="1" customWidth="1"/>
    <col min="6147" max="6147" width="23.140625" style="1" customWidth="1"/>
    <col min="6148" max="6148" width="15.5703125" style="1" bestFit="1" customWidth="1"/>
    <col min="6149" max="6150" width="15.5703125" style="1" customWidth="1"/>
    <col min="6151" max="6151" width="14.7109375" style="1" customWidth="1"/>
    <col min="6152" max="6152" width="23" style="1" bestFit="1" customWidth="1"/>
    <col min="6153" max="6153" width="21.7109375" style="1" customWidth="1"/>
    <col min="6154" max="6400" width="8.85546875" style="1"/>
    <col min="6401" max="6401" width="12.7109375" style="1" customWidth="1"/>
    <col min="6402" max="6402" width="44.28515625" style="1" customWidth="1"/>
    <col min="6403" max="6403" width="23.140625" style="1" customWidth="1"/>
    <col min="6404" max="6404" width="15.5703125" style="1" bestFit="1" customWidth="1"/>
    <col min="6405" max="6406" width="15.5703125" style="1" customWidth="1"/>
    <col min="6407" max="6407" width="14.7109375" style="1" customWidth="1"/>
    <col min="6408" max="6408" width="23" style="1" bestFit="1" customWidth="1"/>
    <col min="6409" max="6409" width="21.7109375" style="1" customWidth="1"/>
    <col min="6410" max="6656" width="8.85546875" style="1"/>
    <col min="6657" max="6657" width="12.7109375" style="1" customWidth="1"/>
    <col min="6658" max="6658" width="44.28515625" style="1" customWidth="1"/>
    <col min="6659" max="6659" width="23.140625" style="1" customWidth="1"/>
    <col min="6660" max="6660" width="15.5703125" style="1" bestFit="1" customWidth="1"/>
    <col min="6661" max="6662" width="15.5703125" style="1" customWidth="1"/>
    <col min="6663" max="6663" width="14.7109375" style="1" customWidth="1"/>
    <col min="6664" max="6664" width="23" style="1" bestFit="1" customWidth="1"/>
    <col min="6665" max="6665" width="21.7109375" style="1" customWidth="1"/>
    <col min="6666" max="6912" width="8.85546875" style="1"/>
    <col min="6913" max="6913" width="12.7109375" style="1" customWidth="1"/>
    <col min="6914" max="6914" width="44.28515625" style="1" customWidth="1"/>
    <col min="6915" max="6915" width="23.140625" style="1" customWidth="1"/>
    <col min="6916" max="6916" width="15.5703125" style="1" bestFit="1" customWidth="1"/>
    <col min="6917" max="6918" width="15.5703125" style="1" customWidth="1"/>
    <col min="6919" max="6919" width="14.7109375" style="1" customWidth="1"/>
    <col min="6920" max="6920" width="23" style="1" bestFit="1" customWidth="1"/>
    <col min="6921" max="6921" width="21.7109375" style="1" customWidth="1"/>
    <col min="6922" max="7168" width="8.85546875" style="1"/>
    <col min="7169" max="7169" width="12.7109375" style="1" customWidth="1"/>
    <col min="7170" max="7170" width="44.28515625" style="1" customWidth="1"/>
    <col min="7171" max="7171" width="23.140625" style="1" customWidth="1"/>
    <col min="7172" max="7172" width="15.5703125" style="1" bestFit="1" customWidth="1"/>
    <col min="7173" max="7174" width="15.5703125" style="1" customWidth="1"/>
    <col min="7175" max="7175" width="14.7109375" style="1" customWidth="1"/>
    <col min="7176" max="7176" width="23" style="1" bestFit="1" customWidth="1"/>
    <col min="7177" max="7177" width="21.7109375" style="1" customWidth="1"/>
    <col min="7178" max="7424" width="8.85546875" style="1"/>
    <col min="7425" max="7425" width="12.7109375" style="1" customWidth="1"/>
    <col min="7426" max="7426" width="44.28515625" style="1" customWidth="1"/>
    <col min="7427" max="7427" width="23.140625" style="1" customWidth="1"/>
    <col min="7428" max="7428" width="15.5703125" style="1" bestFit="1" customWidth="1"/>
    <col min="7429" max="7430" width="15.5703125" style="1" customWidth="1"/>
    <col min="7431" max="7431" width="14.7109375" style="1" customWidth="1"/>
    <col min="7432" max="7432" width="23" style="1" bestFit="1" customWidth="1"/>
    <col min="7433" max="7433" width="21.7109375" style="1" customWidth="1"/>
    <col min="7434" max="7680" width="8.85546875" style="1"/>
    <col min="7681" max="7681" width="12.7109375" style="1" customWidth="1"/>
    <col min="7682" max="7682" width="44.28515625" style="1" customWidth="1"/>
    <col min="7683" max="7683" width="23.140625" style="1" customWidth="1"/>
    <col min="7684" max="7684" width="15.5703125" style="1" bestFit="1" customWidth="1"/>
    <col min="7685" max="7686" width="15.5703125" style="1" customWidth="1"/>
    <col min="7687" max="7687" width="14.7109375" style="1" customWidth="1"/>
    <col min="7688" max="7688" width="23" style="1" bestFit="1" customWidth="1"/>
    <col min="7689" max="7689" width="21.7109375" style="1" customWidth="1"/>
    <col min="7690" max="7936" width="8.85546875" style="1"/>
    <col min="7937" max="7937" width="12.7109375" style="1" customWidth="1"/>
    <col min="7938" max="7938" width="44.28515625" style="1" customWidth="1"/>
    <col min="7939" max="7939" width="23.140625" style="1" customWidth="1"/>
    <col min="7940" max="7940" width="15.5703125" style="1" bestFit="1" customWidth="1"/>
    <col min="7941" max="7942" width="15.5703125" style="1" customWidth="1"/>
    <col min="7943" max="7943" width="14.7109375" style="1" customWidth="1"/>
    <col min="7944" max="7944" width="23" style="1" bestFit="1" customWidth="1"/>
    <col min="7945" max="7945" width="21.7109375" style="1" customWidth="1"/>
    <col min="7946" max="8192" width="8.85546875" style="1"/>
    <col min="8193" max="8193" width="12.7109375" style="1" customWidth="1"/>
    <col min="8194" max="8194" width="44.28515625" style="1" customWidth="1"/>
    <col min="8195" max="8195" width="23.140625" style="1" customWidth="1"/>
    <col min="8196" max="8196" width="15.5703125" style="1" bestFit="1" customWidth="1"/>
    <col min="8197" max="8198" width="15.5703125" style="1" customWidth="1"/>
    <col min="8199" max="8199" width="14.7109375" style="1" customWidth="1"/>
    <col min="8200" max="8200" width="23" style="1" bestFit="1" customWidth="1"/>
    <col min="8201" max="8201" width="21.7109375" style="1" customWidth="1"/>
    <col min="8202" max="8448" width="8.85546875" style="1"/>
    <col min="8449" max="8449" width="12.7109375" style="1" customWidth="1"/>
    <col min="8450" max="8450" width="44.28515625" style="1" customWidth="1"/>
    <col min="8451" max="8451" width="23.140625" style="1" customWidth="1"/>
    <col min="8452" max="8452" width="15.5703125" style="1" bestFit="1" customWidth="1"/>
    <col min="8453" max="8454" width="15.5703125" style="1" customWidth="1"/>
    <col min="8455" max="8455" width="14.7109375" style="1" customWidth="1"/>
    <col min="8456" max="8456" width="23" style="1" bestFit="1" customWidth="1"/>
    <col min="8457" max="8457" width="21.7109375" style="1" customWidth="1"/>
    <col min="8458" max="8704" width="8.85546875" style="1"/>
    <col min="8705" max="8705" width="12.7109375" style="1" customWidth="1"/>
    <col min="8706" max="8706" width="44.28515625" style="1" customWidth="1"/>
    <col min="8707" max="8707" width="23.140625" style="1" customWidth="1"/>
    <col min="8708" max="8708" width="15.5703125" style="1" bestFit="1" customWidth="1"/>
    <col min="8709" max="8710" width="15.5703125" style="1" customWidth="1"/>
    <col min="8711" max="8711" width="14.7109375" style="1" customWidth="1"/>
    <col min="8712" max="8712" width="23" style="1" bestFit="1" customWidth="1"/>
    <col min="8713" max="8713" width="21.7109375" style="1" customWidth="1"/>
    <col min="8714" max="8960" width="8.85546875" style="1"/>
    <col min="8961" max="8961" width="12.7109375" style="1" customWidth="1"/>
    <col min="8962" max="8962" width="44.28515625" style="1" customWidth="1"/>
    <col min="8963" max="8963" width="23.140625" style="1" customWidth="1"/>
    <col min="8964" max="8964" width="15.5703125" style="1" bestFit="1" customWidth="1"/>
    <col min="8965" max="8966" width="15.5703125" style="1" customWidth="1"/>
    <col min="8967" max="8967" width="14.7109375" style="1" customWidth="1"/>
    <col min="8968" max="8968" width="23" style="1" bestFit="1" customWidth="1"/>
    <col min="8969" max="8969" width="21.7109375" style="1" customWidth="1"/>
    <col min="8970" max="9216" width="8.85546875" style="1"/>
    <col min="9217" max="9217" width="12.7109375" style="1" customWidth="1"/>
    <col min="9218" max="9218" width="44.28515625" style="1" customWidth="1"/>
    <col min="9219" max="9219" width="23.140625" style="1" customWidth="1"/>
    <col min="9220" max="9220" width="15.5703125" style="1" bestFit="1" customWidth="1"/>
    <col min="9221" max="9222" width="15.5703125" style="1" customWidth="1"/>
    <col min="9223" max="9223" width="14.7109375" style="1" customWidth="1"/>
    <col min="9224" max="9224" width="23" style="1" bestFit="1" customWidth="1"/>
    <col min="9225" max="9225" width="21.7109375" style="1" customWidth="1"/>
    <col min="9226" max="9472" width="8.85546875" style="1"/>
    <col min="9473" max="9473" width="12.7109375" style="1" customWidth="1"/>
    <col min="9474" max="9474" width="44.28515625" style="1" customWidth="1"/>
    <col min="9475" max="9475" width="23.140625" style="1" customWidth="1"/>
    <col min="9476" max="9476" width="15.5703125" style="1" bestFit="1" customWidth="1"/>
    <col min="9477" max="9478" width="15.5703125" style="1" customWidth="1"/>
    <col min="9479" max="9479" width="14.7109375" style="1" customWidth="1"/>
    <col min="9480" max="9480" width="23" style="1" bestFit="1" customWidth="1"/>
    <col min="9481" max="9481" width="21.7109375" style="1" customWidth="1"/>
    <col min="9482" max="9728" width="8.85546875" style="1"/>
    <col min="9729" max="9729" width="12.7109375" style="1" customWidth="1"/>
    <col min="9730" max="9730" width="44.28515625" style="1" customWidth="1"/>
    <col min="9731" max="9731" width="23.140625" style="1" customWidth="1"/>
    <col min="9732" max="9732" width="15.5703125" style="1" bestFit="1" customWidth="1"/>
    <col min="9733" max="9734" width="15.5703125" style="1" customWidth="1"/>
    <col min="9735" max="9735" width="14.7109375" style="1" customWidth="1"/>
    <col min="9736" max="9736" width="23" style="1" bestFit="1" customWidth="1"/>
    <col min="9737" max="9737" width="21.7109375" style="1" customWidth="1"/>
    <col min="9738" max="9984" width="8.85546875" style="1"/>
    <col min="9985" max="9985" width="12.7109375" style="1" customWidth="1"/>
    <col min="9986" max="9986" width="44.28515625" style="1" customWidth="1"/>
    <col min="9987" max="9987" width="23.140625" style="1" customWidth="1"/>
    <col min="9988" max="9988" width="15.5703125" style="1" bestFit="1" customWidth="1"/>
    <col min="9989" max="9990" width="15.5703125" style="1" customWidth="1"/>
    <col min="9991" max="9991" width="14.7109375" style="1" customWidth="1"/>
    <col min="9992" max="9992" width="23" style="1" bestFit="1" customWidth="1"/>
    <col min="9993" max="9993" width="21.7109375" style="1" customWidth="1"/>
    <col min="9994" max="10240" width="8.85546875" style="1"/>
    <col min="10241" max="10241" width="12.7109375" style="1" customWidth="1"/>
    <col min="10242" max="10242" width="44.28515625" style="1" customWidth="1"/>
    <col min="10243" max="10243" width="23.140625" style="1" customWidth="1"/>
    <col min="10244" max="10244" width="15.5703125" style="1" bestFit="1" customWidth="1"/>
    <col min="10245" max="10246" width="15.5703125" style="1" customWidth="1"/>
    <col min="10247" max="10247" width="14.7109375" style="1" customWidth="1"/>
    <col min="10248" max="10248" width="23" style="1" bestFit="1" customWidth="1"/>
    <col min="10249" max="10249" width="21.7109375" style="1" customWidth="1"/>
    <col min="10250" max="10496" width="8.85546875" style="1"/>
    <col min="10497" max="10497" width="12.7109375" style="1" customWidth="1"/>
    <col min="10498" max="10498" width="44.28515625" style="1" customWidth="1"/>
    <col min="10499" max="10499" width="23.140625" style="1" customWidth="1"/>
    <col min="10500" max="10500" width="15.5703125" style="1" bestFit="1" customWidth="1"/>
    <col min="10501" max="10502" width="15.5703125" style="1" customWidth="1"/>
    <col min="10503" max="10503" width="14.7109375" style="1" customWidth="1"/>
    <col min="10504" max="10504" width="23" style="1" bestFit="1" customWidth="1"/>
    <col min="10505" max="10505" width="21.7109375" style="1" customWidth="1"/>
    <col min="10506" max="10752" width="8.85546875" style="1"/>
    <col min="10753" max="10753" width="12.7109375" style="1" customWidth="1"/>
    <col min="10754" max="10754" width="44.28515625" style="1" customWidth="1"/>
    <col min="10755" max="10755" width="23.140625" style="1" customWidth="1"/>
    <col min="10756" max="10756" width="15.5703125" style="1" bestFit="1" customWidth="1"/>
    <col min="10757" max="10758" width="15.5703125" style="1" customWidth="1"/>
    <col min="10759" max="10759" width="14.7109375" style="1" customWidth="1"/>
    <col min="10760" max="10760" width="23" style="1" bestFit="1" customWidth="1"/>
    <col min="10761" max="10761" width="21.7109375" style="1" customWidth="1"/>
    <col min="10762" max="11008" width="8.85546875" style="1"/>
    <col min="11009" max="11009" width="12.7109375" style="1" customWidth="1"/>
    <col min="11010" max="11010" width="44.28515625" style="1" customWidth="1"/>
    <col min="11011" max="11011" width="23.140625" style="1" customWidth="1"/>
    <col min="11012" max="11012" width="15.5703125" style="1" bestFit="1" customWidth="1"/>
    <col min="11013" max="11014" width="15.5703125" style="1" customWidth="1"/>
    <col min="11015" max="11015" width="14.7109375" style="1" customWidth="1"/>
    <col min="11016" max="11016" width="23" style="1" bestFit="1" customWidth="1"/>
    <col min="11017" max="11017" width="21.7109375" style="1" customWidth="1"/>
    <col min="11018" max="11264" width="8.85546875" style="1"/>
    <col min="11265" max="11265" width="12.7109375" style="1" customWidth="1"/>
    <col min="11266" max="11266" width="44.28515625" style="1" customWidth="1"/>
    <col min="11267" max="11267" width="23.140625" style="1" customWidth="1"/>
    <col min="11268" max="11268" width="15.5703125" style="1" bestFit="1" customWidth="1"/>
    <col min="11269" max="11270" width="15.5703125" style="1" customWidth="1"/>
    <col min="11271" max="11271" width="14.7109375" style="1" customWidth="1"/>
    <col min="11272" max="11272" width="23" style="1" bestFit="1" customWidth="1"/>
    <col min="11273" max="11273" width="21.7109375" style="1" customWidth="1"/>
    <col min="11274" max="11520" width="8.85546875" style="1"/>
    <col min="11521" max="11521" width="12.7109375" style="1" customWidth="1"/>
    <col min="11522" max="11522" width="44.28515625" style="1" customWidth="1"/>
    <col min="11523" max="11523" width="23.140625" style="1" customWidth="1"/>
    <col min="11524" max="11524" width="15.5703125" style="1" bestFit="1" customWidth="1"/>
    <col min="11525" max="11526" width="15.5703125" style="1" customWidth="1"/>
    <col min="11527" max="11527" width="14.7109375" style="1" customWidth="1"/>
    <col min="11528" max="11528" width="23" style="1" bestFit="1" customWidth="1"/>
    <col min="11529" max="11529" width="21.7109375" style="1" customWidth="1"/>
    <col min="11530" max="11776" width="8.85546875" style="1"/>
    <col min="11777" max="11777" width="12.7109375" style="1" customWidth="1"/>
    <col min="11778" max="11778" width="44.28515625" style="1" customWidth="1"/>
    <col min="11779" max="11779" width="23.140625" style="1" customWidth="1"/>
    <col min="11780" max="11780" width="15.5703125" style="1" bestFit="1" customWidth="1"/>
    <col min="11781" max="11782" width="15.5703125" style="1" customWidth="1"/>
    <col min="11783" max="11783" width="14.7109375" style="1" customWidth="1"/>
    <col min="11784" max="11784" width="23" style="1" bestFit="1" customWidth="1"/>
    <col min="11785" max="11785" width="21.7109375" style="1" customWidth="1"/>
    <col min="11786" max="12032" width="8.85546875" style="1"/>
    <col min="12033" max="12033" width="12.7109375" style="1" customWidth="1"/>
    <col min="12034" max="12034" width="44.28515625" style="1" customWidth="1"/>
    <col min="12035" max="12035" width="23.140625" style="1" customWidth="1"/>
    <col min="12036" max="12036" width="15.5703125" style="1" bestFit="1" customWidth="1"/>
    <col min="12037" max="12038" width="15.5703125" style="1" customWidth="1"/>
    <col min="12039" max="12039" width="14.7109375" style="1" customWidth="1"/>
    <col min="12040" max="12040" width="23" style="1" bestFit="1" customWidth="1"/>
    <col min="12041" max="12041" width="21.7109375" style="1" customWidth="1"/>
    <col min="12042" max="12288" width="8.85546875" style="1"/>
    <col min="12289" max="12289" width="12.7109375" style="1" customWidth="1"/>
    <col min="12290" max="12290" width="44.28515625" style="1" customWidth="1"/>
    <col min="12291" max="12291" width="23.140625" style="1" customWidth="1"/>
    <col min="12292" max="12292" width="15.5703125" style="1" bestFit="1" customWidth="1"/>
    <col min="12293" max="12294" width="15.5703125" style="1" customWidth="1"/>
    <col min="12295" max="12295" width="14.7109375" style="1" customWidth="1"/>
    <col min="12296" max="12296" width="23" style="1" bestFit="1" customWidth="1"/>
    <col min="12297" max="12297" width="21.7109375" style="1" customWidth="1"/>
    <col min="12298" max="12544" width="8.85546875" style="1"/>
    <col min="12545" max="12545" width="12.7109375" style="1" customWidth="1"/>
    <col min="12546" max="12546" width="44.28515625" style="1" customWidth="1"/>
    <col min="12547" max="12547" width="23.140625" style="1" customWidth="1"/>
    <col min="12548" max="12548" width="15.5703125" style="1" bestFit="1" customWidth="1"/>
    <col min="12549" max="12550" width="15.5703125" style="1" customWidth="1"/>
    <col min="12551" max="12551" width="14.7109375" style="1" customWidth="1"/>
    <col min="12552" max="12552" width="23" style="1" bestFit="1" customWidth="1"/>
    <col min="12553" max="12553" width="21.7109375" style="1" customWidth="1"/>
    <col min="12554" max="12800" width="8.85546875" style="1"/>
    <col min="12801" max="12801" width="12.7109375" style="1" customWidth="1"/>
    <col min="12802" max="12802" width="44.28515625" style="1" customWidth="1"/>
    <col min="12803" max="12803" width="23.140625" style="1" customWidth="1"/>
    <col min="12804" max="12804" width="15.5703125" style="1" bestFit="1" customWidth="1"/>
    <col min="12805" max="12806" width="15.5703125" style="1" customWidth="1"/>
    <col min="12807" max="12807" width="14.7109375" style="1" customWidth="1"/>
    <col min="12808" max="12808" width="23" style="1" bestFit="1" customWidth="1"/>
    <col min="12809" max="12809" width="21.7109375" style="1" customWidth="1"/>
    <col min="12810" max="13056" width="8.85546875" style="1"/>
    <col min="13057" max="13057" width="12.7109375" style="1" customWidth="1"/>
    <col min="13058" max="13058" width="44.28515625" style="1" customWidth="1"/>
    <col min="13059" max="13059" width="23.140625" style="1" customWidth="1"/>
    <col min="13060" max="13060" width="15.5703125" style="1" bestFit="1" customWidth="1"/>
    <col min="13061" max="13062" width="15.5703125" style="1" customWidth="1"/>
    <col min="13063" max="13063" width="14.7109375" style="1" customWidth="1"/>
    <col min="13064" max="13064" width="23" style="1" bestFit="1" customWidth="1"/>
    <col min="13065" max="13065" width="21.7109375" style="1" customWidth="1"/>
    <col min="13066" max="13312" width="8.85546875" style="1"/>
    <col min="13313" max="13313" width="12.7109375" style="1" customWidth="1"/>
    <col min="13314" max="13314" width="44.28515625" style="1" customWidth="1"/>
    <col min="13315" max="13315" width="23.140625" style="1" customWidth="1"/>
    <col min="13316" max="13316" width="15.5703125" style="1" bestFit="1" customWidth="1"/>
    <col min="13317" max="13318" width="15.5703125" style="1" customWidth="1"/>
    <col min="13319" max="13319" width="14.7109375" style="1" customWidth="1"/>
    <col min="13320" max="13320" width="23" style="1" bestFit="1" customWidth="1"/>
    <col min="13321" max="13321" width="21.7109375" style="1" customWidth="1"/>
    <col min="13322" max="13568" width="8.85546875" style="1"/>
    <col min="13569" max="13569" width="12.7109375" style="1" customWidth="1"/>
    <col min="13570" max="13570" width="44.28515625" style="1" customWidth="1"/>
    <col min="13571" max="13571" width="23.140625" style="1" customWidth="1"/>
    <col min="13572" max="13572" width="15.5703125" style="1" bestFit="1" customWidth="1"/>
    <col min="13573" max="13574" width="15.5703125" style="1" customWidth="1"/>
    <col min="13575" max="13575" width="14.7109375" style="1" customWidth="1"/>
    <col min="13576" max="13576" width="23" style="1" bestFit="1" customWidth="1"/>
    <col min="13577" max="13577" width="21.7109375" style="1" customWidth="1"/>
    <col min="13578" max="13824" width="8.85546875" style="1"/>
    <col min="13825" max="13825" width="12.7109375" style="1" customWidth="1"/>
    <col min="13826" max="13826" width="44.28515625" style="1" customWidth="1"/>
    <col min="13827" max="13827" width="23.140625" style="1" customWidth="1"/>
    <col min="13828" max="13828" width="15.5703125" style="1" bestFit="1" customWidth="1"/>
    <col min="13829" max="13830" width="15.5703125" style="1" customWidth="1"/>
    <col min="13831" max="13831" width="14.7109375" style="1" customWidth="1"/>
    <col min="13832" max="13832" width="23" style="1" bestFit="1" customWidth="1"/>
    <col min="13833" max="13833" width="21.7109375" style="1" customWidth="1"/>
    <col min="13834" max="14080" width="8.85546875" style="1"/>
    <col min="14081" max="14081" width="12.7109375" style="1" customWidth="1"/>
    <col min="14082" max="14082" width="44.28515625" style="1" customWidth="1"/>
    <col min="14083" max="14083" width="23.140625" style="1" customWidth="1"/>
    <col min="14084" max="14084" width="15.5703125" style="1" bestFit="1" customWidth="1"/>
    <col min="14085" max="14086" width="15.5703125" style="1" customWidth="1"/>
    <col min="14087" max="14087" width="14.7109375" style="1" customWidth="1"/>
    <col min="14088" max="14088" width="23" style="1" bestFit="1" customWidth="1"/>
    <col min="14089" max="14089" width="21.7109375" style="1" customWidth="1"/>
    <col min="14090" max="14336" width="8.85546875" style="1"/>
    <col min="14337" max="14337" width="12.7109375" style="1" customWidth="1"/>
    <col min="14338" max="14338" width="44.28515625" style="1" customWidth="1"/>
    <col min="14339" max="14339" width="23.140625" style="1" customWidth="1"/>
    <col min="14340" max="14340" width="15.5703125" style="1" bestFit="1" customWidth="1"/>
    <col min="14341" max="14342" width="15.5703125" style="1" customWidth="1"/>
    <col min="14343" max="14343" width="14.7109375" style="1" customWidth="1"/>
    <col min="14344" max="14344" width="23" style="1" bestFit="1" customWidth="1"/>
    <col min="14345" max="14345" width="21.7109375" style="1" customWidth="1"/>
    <col min="14346" max="14592" width="8.85546875" style="1"/>
    <col min="14593" max="14593" width="12.7109375" style="1" customWidth="1"/>
    <col min="14594" max="14594" width="44.28515625" style="1" customWidth="1"/>
    <col min="14595" max="14595" width="23.140625" style="1" customWidth="1"/>
    <col min="14596" max="14596" width="15.5703125" style="1" bestFit="1" customWidth="1"/>
    <col min="14597" max="14598" width="15.5703125" style="1" customWidth="1"/>
    <col min="14599" max="14599" width="14.7109375" style="1" customWidth="1"/>
    <col min="14600" max="14600" width="23" style="1" bestFit="1" customWidth="1"/>
    <col min="14601" max="14601" width="21.7109375" style="1" customWidth="1"/>
    <col min="14602" max="14848" width="8.85546875" style="1"/>
    <col min="14849" max="14849" width="12.7109375" style="1" customWidth="1"/>
    <col min="14850" max="14850" width="44.28515625" style="1" customWidth="1"/>
    <col min="14851" max="14851" width="23.140625" style="1" customWidth="1"/>
    <col min="14852" max="14852" width="15.5703125" style="1" bestFit="1" customWidth="1"/>
    <col min="14853" max="14854" width="15.5703125" style="1" customWidth="1"/>
    <col min="14855" max="14855" width="14.7109375" style="1" customWidth="1"/>
    <col min="14856" max="14856" width="23" style="1" bestFit="1" customWidth="1"/>
    <col min="14857" max="14857" width="21.7109375" style="1" customWidth="1"/>
    <col min="14858" max="15104" width="8.85546875" style="1"/>
    <col min="15105" max="15105" width="12.7109375" style="1" customWidth="1"/>
    <col min="15106" max="15106" width="44.28515625" style="1" customWidth="1"/>
    <col min="15107" max="15107" width="23.140625" style="1" customWidth="1"/>
    <col min="15108" max="15108" width="15.5703125" style="1" bestFit="1" customWidth="1"/>
    <col min="15109" max="15110" width="15.5703125" style="1" customWidth="1"/>
    <col min="15111" max="15111" width="14.7109375" style="1" customWidth="1"/>
    <col min="15112" max="15112" width="23" style="1" bestFit="1" customWidth="1"/>
    <col min="15113" max="15113" width="21.7109375" style="1" customWidth="1"/>
    <col min="15114" max="15360" width="8.85546875" style="1"/>
    <col min="15361" max="15361" width="12.7109375" style="1" customWidth="1"/>
    <col min="15362" max="15362" width="44.28515625" style="1" customWidth="1"/>
    <col min="15363" max="15363" width="23.140625" style="1" customWidth="1"/>
    <col min="15364" max="15364" width="15.5703125" style="1" bestFit="1" customWidth="1"/>
    <col min="15365" max="15366" width="15.5703125" style="1" customWidth="1"/>
    <col min="15367" max="15367" width="14.7109375" style="1" customWidth="1"/>
    <col min="15368" max="15368" width="23" style="1" bestFit="1" customWidth="1"/>
    <col min="15369" max="15369" width="21.7109375" style="1" customWidth="1"/>
    <col min="15370" max="15616" width="8.85546875" style="1"/>
    <col min="15617" max="15617" width="12.7109375" style="1" customWidth="1"/>
    <col min="15618" max="15618" width="44.28515625" style="1" customWidth="1"/>
    <col min="15619" max="15619" width="23.140625" style="1" customWidth="1"/>
    <col min="15620" max="15620" width="15.5703125" style="1" bestFit="1" customWidth="1"/>
    <col min="15621" max="15622" width="15.5703125" style="1" customWidth="1"/>
    <col min="15623" max="15623" width="14.7109375" style="1" customWidth="1"/>
    <col min="15624" max="15624" width="23" style="1" bestFit="1" customWidth="1"/>
    <col min="15625" max="15625" width="21.7109375" style="1" customWidth="1"/>
    <col min="15626" max="15872" width="8.85546875" style="1"/>
    <col min="15873" max="15873" width="12.7109375" style="1" customWidth="1"/>
    <col min="15874" max="15874" width="44.28515625" style="1" customWidth="1"/>
    <col min="15875" max="15875" width="23.140625" style="1" customWidth="1"/>
    <col min="15876" max="15876" width="15.5703125" style="1" bestFit="1" customWidth="1"/>
    <col min="15877" max="15878" width="15.5703125" style="1" customWidth="1"/>
    <col min="15879" max="15879" width="14.7109375" style="1" customWidth="1"/>
    <col min="15880" max="15880" width="23" style="1" bestFit="1" customWidth="1"/>
    <col min="15881" max="15881" width="21.7109375" style="1" customWidth="1"/>
    <col min="15882" max="16128" width="8.85546875" style="1"/>
    <col min="16129" max="16129" width="12.7109375" style="1" customWidth="1"/>
    <col min="16130" max="16130" width="44.28515625" style="1" customWidth="1"/>
    <col min="16131" max="16131" width="23.140625" style="1" customWidth="1"/>
    <col min="16132" max="16132" width="15.5703125" style="1" bestFit="1" customWidth="1"/>
    <col min="16133" max="16134" width="15.5703125" style="1" customWidth="1"/>
    <col min="16135" max="16135" width="14.7109375" style="1" customWidth="1"/>
    <col min="16136" max="16136" width="23" style="1" bestFit="1" customWidth="1"/>
    <col min="16137" max="16137" width="21.7109375" style="1" customWidth="1"/>
    <col min="16138" max="16384" width="8.85546875" style="1"/>
  </cols>
  <sheetData>
    <row r="1" spans="1:12" ht="44.25" customHeight="1">
      <c r="A1" s="2">
        <v>7279.3</v>
      </c>
      <c r="D1" s="61" t="s">
        <v>83</v>
      </c>
      <c r="E1" s="61"/>
      <c r="F1" s="61"/>
      <c r="G1" s="61"/>
      <c r="H1" s="62"/>
    </row>
    <row r="4" spans="1:12" ht="15.75">
      <c r="A4" s="63" t="s">
        <v>6</v>
      </c>
      <c r="B4" s="63"/>
      <c r="C4" s="63"/>
      <c r="D4" s="63"/>
      <c r="E4" s="63"/>
      <c r="F4" s="63"/>
      <c r="G4" s="63"/>
      <c r="H4" s="63"/>
    </row>
    <row r="5" spans="1:12" ht="15.75">
      <c r="A5" s="63"/>
      <c r="B5" s="63"/>
      <c r="C5" s="63"/>
      <c r="D5" s="63"/>
      <c r="E5" s="63"/>
      <c r="F5" s="63"/>
      <c r="G5" s="63"/>
      <c r="H5" s="63"/>
    </row>
    <row r="6" spans="1:12" ht="15.75">
      <c r="A6" s="63" t="s">
        <v>84</v>
      </c>
      <c r="B6" s="63"/>
      <c r="C6" s="63"/>
      <c r="D6" s="63"/>
      <c r="E6" s="63"/>
      <c r="F6" s="63"/>
      <c r="G6" s="63"/>
      <c r="H6" s="63"/>
    </row>
    <row r="7" spans="1:12" ht="30">
      <c r="H7" s="8" t="s">
        <v>8</v>
      </c>
      <c r="I7" s="1" t="s">
        <v>9</v>
      </c>
    </row>
    <row r="8" spans="1:12" ht="63">
      <c r="A8" s="9" t="s">
        <v>10</v>
      </c>
      <c r="B8" s="9" t="s">
        <v>11</v>
      </c>
      <c r="C8" s="10" t="s">
        <v>12</v>
      </c>
      <c r="D8" s="10" t="s">
        <v>85</v>
      </c>
      <c r="E8" s="10" t="s">
        <v>86</v>
      </c>
      <c r="F8" s="10" t="s">
        <v>13</v>
      </c>
      <c r="G8" s="10" t="s">
        <v>87</v>
      </c>
      <c r="H8" s="10" t="s">
        <v>15</v>
      </c>
    </row>
    <row r="9" spans="1:12" ht="45.75" customHeight="1">
      <c r="A9" s="11">
        <v>1</v>
      </c>
      <c r="B9" s="56" t="s">
        <v>16</v>
      </c>
      <c r="C9" s="57"/>
      <c r="D9" s="12">
        <f>D10+D19</f>
        <v>342024.04200000002</v>
      </c>
      <c r="E9" s="12">
        <f>E10+E19</f>
        <v>565464.68599999999</v>
      </c>
      <c r="F9" s="12">
        <f>F10+F19</f>
        <v>907488.728</v>
      </c>
      <c r="G9" s="12">
        <f>G10+G19</f>
        <v>75624.060666666657</v>
      </c>
      <c r="H9" s="12">
        <f>H10+H19</f>
        <v>9.6333521996162634</v>
      </c>
      <c r="J9" s="1">
        <f>7000*1.15</f>
        <v>8049.9999999999991</v>
      </c>
      <c r="K9" s="1">
        <f>7910*13%</f>
        <v>1028.3</v>
      </c>
    </row>
    <row r="10" spans="1:12" ht="26.25" customHeight="1">
      <c r="A10" s="13" t="s">
        <v>17</v>
      </c>
      <c r="B10" s="56" t="s">
        <v>18</v>
      </c>
      <c r="C10" s="57"/>
      <c r="D10" s="12">
        <f>SUM(D11:D18)</f>
        <v>152228.25</v>
      </c>
      <c r="E10" s="12">
        <f>SUM(E11:E18)</f>
        <v>291505.55</v>
      </c>
      <c r="F10" s="12">
        <f>SUM(F11:F18)</f>
        <v>443733.8</v>
      </c>
      <c r="G10" s="12">
        <f>SUM(G11:G18)</f>
        <v>36977.816666666666</v>
      </c>
      <c r="H10" s="12">
        <f>SUM(H11:H18)</f>
        <v>5.0798588692136146</v>
      </c>
    </row>
    <row r="11" spans="1:12" ht="30.75" customHeight="1">
      <c r="A11" s="14" t="s">
        <v>19</v>
      </c>
      <c r="B11" s="6" t="s">
        <v>20</v>
      </c>
      <c r="C11" s="6" t="s">
        <v>21</v>
      </c>
      <c r="D11" s="5">
        <v>5000</v>
      </c>
      <c r="E11" s="5">
        <v>70000</v>
      </c>
      <c r="F11" s="5">
        <f>SUM(D11:E11)</f>
        <v>75000</v>
      </c>
      <c r="G11" s="12">
        <f>F11/12</f>
        <v>6250</v>
      </c>
      <c r="H11" s="5">
        <f>G11/$A$1</f>
        <v>0.85859904111659091</v>
      </c>
      <c r="I11" s="1">
        <f>7179/1.13*1.1</f>
        <v>6988.4070796460182</v>
      </c>
      <c r="J11" s="1">
        <f>6242*1.15</f>
        <v>7178.2999999999993</v>
      </c>
      <c r="K11" s="1">
        <f>7000*0.13</f>
        <v>910</v>
      </c>
      <c r="L11" s="1">
        <f>I11+K11</f>
        <v>7898.4070796460182</v>
      </c>
    </row>
    <row r="12" spans="1:12" ht="15.75" customHeight="1">
      <c r="A12" s="14" t="s">
        <v>22</v>
      </c>
      <c r="B12" s="3" t="s">
        <v>23</v>
      </c>
      <c r="C12" s="3"/>
      <c r="D12" s="5">
        <f>(D11+D13+D17)*35.2%</f>
        <v>14960.000000000002</v>
      </c>
      <c r="E12" s="5">
        <f>(E11+E13+E17)*35.2%</f>
        <v>43120.000000000007</v>
      </c>
      <c r="F12" s="5">
        <f t="shared" ref="F12:F33" si="0">SUM(D12:E12)</f>
        <v>58080.000000000007</v>
      </c>
      <c r="G12" s="12">
        <f t="shared" ref="G12:G34" si="1">F12/12</f>
        <v>4840.0000000000009</v>
      </c>
      <c r="H12" s="5">
        <f t="shared" ref="H12:H17" si="2">G12/$A$1</f>
        <v>0.66489909744068809</v>
      </c>
    </row>
    <row r="13" spans="1:12" ht="15.75" customHeight="1">
      <c r="A13" s="14" t="s">
        <v>24</v>
      </c>
      <c r="B13" s="3" t="s">
        <v>25</v>
      </c>
      <c r="C13" s="3"/>
      <c r="D13" s="5">
        <v>20000</v>
      </c>
      <c r="E13" s="5">
        <v>28000</v>
      </c>
      <c r="F13" s="5">
        <f t="shared" si="0"/>
        <v>48000</v>
      </c>
      <c r="G13" s="12">
        <f t="shared" si="1"/>
        <v>4000</v>
      </c>
      <c r="H13" s="5">
        <f t="shared" si="2"/>
        <v>0.54950338631461815</v>
      </c>
    </row>
    <row r="14" spans="1:12">
      <c r="A14" s="14" t="s">
        <v>26</v>
      </c>
      <c r="B14" s="3" t="s">
        <v>27</v>
      </c>
      <c r="C14" s="3" t="s">
        <v>28</v>
      </c>
      <c r="D14" s="5">
        <v>2850</v>
      </c>
      <c r="E14" s="5">
        <v>0</v>
      </c>
      <c r="F14" s="5">
        <f t="shared" si="0"/>
        <v>2850</v>
      </c>
      <c r="G14" s="12">
        <f t="shared" si="1"/>
        <v>237.5</v>
      </c>
      <c r="H14" s="5">
        <f t="shared" si="2"/>
        <v>3.2626763562430453E-2</v>
      </c>
    </row>
    <row r="15" spans="1:12">
      <c r="A15" s="14" t="s">
        <v>29</v>
      </c>
      <c r="B15" s="3" t="s">
        <v>30</v>
      </c>
      <c r="C15" s="3" t="s">
        <v>28</v>
      </c>
      <c r="D15" s="5">
        <v>2000</v>
      </c>
      <c r="E15" s="5">
        <v>0</v>
      </c>
      <c r="F15" s="5">
        <f t="shared" si="0"/>
        <v>2000</v>
      </c>
      <c r="G15" s="12">
        <f t="shared" si="1"/>
        <v>166.66666666666666</v>
      </c>
      <c r="H15" s="5">
        <f t="shared" si="2"/>
        <v>2.2895974429775756E-2</v>
      </c>
    </row>
    <row r="16" spans="1:12" ht="47.25" customHeight="1">
      <c r="A16" s="14" t="s">
        <v>31</v>
      </c>
      <c r="B16" s="6" t="s">
        <v>32</v>
      </c>
      <c r="C16" s="6" t="s">
        <v>33</v>
      </c>
      <c r="D16" s="5">
        <f>9551*1.15*5</f>
        <v>54918.25</v>
      </c>
      <c r="E16" s="5">
        <f>9551*1.15*7</f>
        <v>76885.55</v>
      </c>
      <c r="F16" s="5">
        <f t="shared" si="0"/>
        <v>131803.79999999999</v>
      </c>
      <c r="G16" s="12">
        <f t="shared" si="1"/>
        <v>10983.65</v>
      </c>
      <c r="H16" s="5">
        <f t="shared" si="2"/>
        <v>1.5088882172736389</v>
      </c>
    </row>
    <row r="17" spans="1:10" ht="30">
      <c r="A17" s="14" t="s">
        <v>34</v>
      </c>
      <c r="B17" s="6" t="s">
        <v>35</v>
      </c>
      <c r="C17" s="6" t="s">
        <v>21</v>
      </c>
      <c r="D17" s="5">
        <f>3500*5</f>
        <v>17500</v>
      </c>
      <c r="E17" s="5">
        <f>3500*7</f>
        <v>24500</v>
      </c>
      <c r="F17" s="5">
        <f t="shared" si="0"/>
        <v>42000</v>
      </c>
      <c r="G17" s="12">
        <f t="shared" si="1"/>
        <v>3500</v>
      </c>
      <c r="H17" s="5">
        <f t="shared" si="2"/>
        <v>0.48081546302529088</v>
      </c>
    </row>
    <row r="18" spans="1:10" ht="45">
      <c r="A18" s="14" t="s">
        <v>37</v>
      </c>
      <c r="B18" s="6" t="s">
        <v>40</v>
      </c>
      <c r="C18" s="6" t="s">
        <v>41</v>
      </c>
      <c r="D18" s="5">
        <f>7000*5</f>
        <v>35000</v>
      </c>
      <c r="E18" s="5">
        <f>7000*7</f>
        <v>49000</v>
      </c>
      <c r="F18" s="5">
        <f t="shared" si="0"/>
        <v>84000</v>
      </c>
      <c r="G18" s="12">
        <f t="shared" si="1"/>
        <v>7000</v>
      </c>
      <c r="H18" s="5">
        <f>G18/$A$1</f>
        <v>0.96163092605058176</v>
      </c>
    </row>
    <row r="19" spans="1:10" ht="27" customHeight="1">
      <c r="A19" s="13" t="s">
        <v>42</v>
      </c>
      <c r="B19" s="56" t="s">
        <v>43</v>
      </c>
      <c r="C19" s="57"/>
      <c r="D19" s="4">
        <f>SUM(SUM(D20:D26))</f>
        <v>189795.79200000002</v>
      </c>
      <c r="E19" s="4">
        <f>SUM(SUM(E20:E27))</f>
        <v>273959.136</v>
      </c>
      <c r="F19" s="5">
        <f t="shared" si="0"/>
        <v>463754.92800000001</v>
      </c>
      <c r="G19" s="12">
        <f t="shared" si="1"/>
        <v>38646.243999999999</v>
      </c>
      <c r="H19" s="4">
        <f>SUM(SUM(H20:H26))</f>
        <v>4.5534933304026488</v>
      </c>
    </row>
    <row r="20" spans="1:10" ht="30">
      <c r="A20" s="14" t="s">
        <v>44</v>
      </c>
      <c r="B20" s="3" t="s">
        <v>45</v>
      </c>
      <c r="C20" s="6" t="s">
        <v>21</v>
      </c>
      <c r="D20" s="5">
        <f>6246*5</f>
        <v>31230</v>
      </c>
      <c r="E20" s="5">
        <v>0</v>
      </c>
      <c r="F20" s="5">
        <f t="shared" si="0"/>
        <v>31230</v>
      </c>
      <c r="G20" s="12">
        <f t="shared" si="1"/>
        <v>2602.5</v>
      </c>
      <c r="H20" s="5">
        <f>G20/$A$1</f>
        <v>0.35752064072094841</v>
      </c>
    </row>
    <row r="21" spans="1:10" ht="30">
      <c r="A21" s="14" t="s">
        <v>46</v>
      </c>
      <c r="B21" s="6" t="s">
        <v>47</v>
      </c>
      <c r="C21" s="6" t="s">
        <v>21</v>
      </c>
      <c r="D21" s="5">
        <f>5926*5</f>
        <v>29630</v>
      </c>
      <c r="E21" s="5">
        <f>5926*7</f>
        <v>41482</v>
      </c>
      <c r="F21" s="5">
        <f t="shared" si="0"/>
        <v>71112</v>
      </c>
      <c r="G21" s="12">
        <f t="shared" si="1"/>
        <v>5926</v>
      </c>
      <c r="H21" s="5">
        <f t="shared" ref="H21:H26" si="3">G21/$A$1</f>
        <v>0.81408926682510674</v>
      </c>
      <c r="I21" s="1">
        <f>6811/1.13*1.1</f>
        <v>6630.1769911504434</v>
      </c>
      <c r="J21" s="1">
        <f>I21*0.13</f>
        <v>861.92300884955762</v>
      </c>
    </row>
    <row r="22" spans="1:10" ht="30">
      <c r="A22" s="14" t="s">
        <v>48</v>
      </c>
      <c r="B22" s="3" t="s">
        <v>49</v>
      </c>
      <c r="C22" s="15" t="s">
        <v>21</v>
      </c>
      <c r="D22" s="5">
        <f>5287*5</f>
        <v>26435</v>
      </c>
      <c r="E22" s="5">
        <f>5287*7</f>
        <v>37009</v>
      </c>
      <c r="F22" s="5">
        <f t="shared" si="0"/>
        <v>63444</v>
      </c>
      <c r="G22" s="12">
        <f t="shared" si="1"/>
        <v>5287</v>
      </c>
      <c r="H22" s="5">
        <f t="shared" si="3"/>
        <v>0.7263061008613465</v>
      </c>
      <c r="I22" s="1">
        <f>6077/1.13*1.1</f>
        <v>5915.6637168141606</v>
      </c>
      <c r="J22" s="1">
        <f>I22*0.13</f>
        <v>769.03628318584094</v>
      </c>
    </row>
    <row r="23" spans="1:10" ht="45">
      <c r="A23" s="14" t="s">
        <v>50</v>
      </c>
      <c r="B23" s="6" t="s">
        <v>51</v>
      </c>
      <c r="C23" s="6" t="s">
        <v>21</v>
      </c>
      <c r="D23" s="24">
        <f>6168*5</f>
        <v>30840</v>
      </c>
      <c r="E23" s="24">
        <f>6168*7</f>
        <v>43176</v>
      </c>
      <c r="F23" s="5">
        <f t="shared" si="0"/>
        <v>74016</v>
      </c>
      <c r="G23" s="12">
        <f t="shared" si="1"/>
        <v>6168</v>
      </c>
      <c r="H23" s="5">
        <f t="shared" si="3"/>
        <v>0.84733422169714123</v>
      </c>
      <c r="I23" s="1">
        <f>7970/1.13*1.1</f>
        <v>7758.4070796460182</v>
      </c>
      <c r="J23" s="1">
        <f>I23*0.13</f>
        <v>1008.5929203539824</v>
      </c>
    </row>
    <row r="24" spans="1:10" ht="30">
      <c r="A24" s="14" t="s">
        <v>52</v>
      </c>
      <c r="B24" s="6" t="s">
        <v>53</v>
      </c>
      <c r="C24" s="6" t="s">
        <v>21</v>
      </c>
      <c r="D24" s="5">
        <f>2639*5</f>
        <v>13195</v>
      </c>
      <c r="E24" s="5">
        <f>2639*7</f>
        <v>18473</v>
      </c>
      <c r="F24" s="5">
        <f t="shared" si="0"/>
        <v>31668</v>
      </c>
      <c r="G24" s="12">
        <f t="shared" si="1"/>
        <v>2639</v>
      </c>
      <c r="H24" s="5">
        <f t="shared" si="3"/>
        <v>0.36253485912106931</v>
      </c>
      <c r="I24" s="1">
        <f>3033/1.13*1.1</f>
        <v>2952.4778761061953</v>
      </c>
    </row>
    <row r="25" spans="1:10" ht="30">
      <c r="A25" s="14" t="s">
        <v>54</v>
      </c>
      <c r="B25" s="3" t="s">
        <v>23</v>
      </c>
      <c r="C25" s="6" t="s">
        <v>21</v>
      </c>
      <c r="D25" s="5">
        <f>(D21+D20+D22+D23+D24)*35.2%</f>
        <v>46228.160000000003</v>
      </c>
      <c r="E25" s="5">
        <f>(E21+E22+E23+E24)*35.2%</f>
        <v>49329.280000000006</v>
      </c>
      <c r="F25" s="5">
        <f t="shared" si="0"/>
        <v>95557.440000000002</v>
      </c>
      <c r="G25" s="12">
        <f t="shared" si="1"/>
        <v>7963.12</v>
      </c>
      <c r="H25" s="5">
        <f t="shared" si="3"/>
        <v>1.0939403514074155</v>
      </c>
    </row>
    <row r="26" spans="1:10" ht="75">
      <c r="A26" s="14" t="s">
        <v>55</v>
      </c>
      <c r="B26" s="6" t="s">
        <v>56</v>
      </c>
      <c r="C26" s="6" t="s">
        <v>21</v>
      </c>
      <c r="D26" s="5">
        <f>(D25+D12)*0.2</f>
        <v>12237.632000000001</v>
      </c>
      <c r="E26" s="5">
        <f>(E25+E12)*0.2</f>
        <v>18489.856000000003</v>
      </c>
      <c r="F26" s="5">
        <f t="shared" si="0"/>
        <v>30727.488000000005</v>
      </c>
      <c r="G26" s="12">
        <f t="shared" si="1"/>
        <v>2560.6240000000003</v>
      </c>
      <c r="H26" s="5">
        <f t="shared" si="3"/>
        <v>0.35176788976962076</v>
      </c>
    </row>
    <row r="27" spans="1:10">
      <c r="A27" s="14" t="s">
        <v>88</v>
      </c>
      <c r="B27" s="6" t="s">
        <v>89</v>
      </c>
      <c r="C27" s="6"/>
      <c r="D27" s="5">
        <v>0</v>
      </c>
      <c r="E27" s="5">
        <v>66000</v>
      </c>
      <c r="F27" s="5">
        <f>SUM(D27:E27)</f>
        <v>66000</v>
      </c>
      <c r="G27" s="12">
        <f>F27/12</f>
        <v>5500</v>
      </c>
      <c r="H27" s="5">
        <f>G27/$A$1</f>
        <v>0.75556715618259995</v>
      </c>
    </row>
    <row r="28" spans="1:10" ht="15.75">
      <c r="A28" s="13" t="s">
        <v>57</v>
      </c>
      <c r="B28" s="58" t="s">
        <v>58</v>
      </c>
      <c r="C28" s="59"/>
      <c r="D28" s="4">
        <f>D29+D30</f>
        <v>19200</v>
      </c>
      <c r="E28" s="4">
        <v>0</v>
      </c>
      <c r="F28" s="5">
        <f t="shared" si="0"/>
        <v>19200</v>
      </c>
      <c r="G28" s="12">
        <f t="shared" si="1"/>
        <v>1600</v>
      </c>
      <c r="H28" s="4">
        <f>H29+H30</f>
        <v>0.21980135452584726</v>
      </c>
    </row>
    <row r="29" spans="1:10">
      <c r="A29" s="14" t="s">
        <v>59</v>
      </c>
      <c r="B29" s="6" t="s">
        <v>4</v>
      </c>
      <c r="C29" s="6"/>
      <c r="D29" s="5">
        <f>300*12</f>
        <v>3600</v>
      </c>
      <c r="E29" s="5">
        <v>0</v>
      </c>
      <c r="F29" s="5">
        <f t="shared" si="0"/>
        <v>3600</v>
      </c>
      <c r="G29" s="12">
        <f t="shared" si="1"/>
        <v>300</v>
      </c>
      <c r="H29" s="5">
        <f>G29/$A$1</f>
        <v>4.1212753973596361E-2</v>
      </c>
    </row>
    <row r="30" spans="1:10" ht="30">
      <c r="A30" s="14" t="s">
        <v>60</v>
      </c>
      <c r="B30" s="6" t="s">
        <v>61</v>
      </c>
      <c r="C30" s="6"/>
      <c r="D30" s="5">
        <f>1300*12</f>
        <v>15600</v>
      </c>
      <c r="E30" s="5">
        <v>0</v>
      </c>
      <c r="F30" s="5">
        <f t="shared" si="0"/>
        <v>15600</v>
      </c>
      <c r="G30" s="12">
        <f t="shared" si="1"/>
        <v>1300</v>
      </c>
      <c r="H30" s="5">
        <f>G30/$A$1</f>
        <v>0.1785886005522509</v>
      </c>
    </row>
    <row r="31" spans="1:10" ht="15.75">
      <c r="A31" s="13" t="s">
        <v>62</v>
      </c>
      <c r="B31" s="58" t="s">
        <v>63</v>
      </c>
      <c r="C31" s="59"/>
      <c r="D31" s="4">
        <v>0</v>
      </c>
      <c r="E31" s="4">
        <f>E32</f>
        <v>20400</v>
      </c>
      <c r="F31" s="5">
        <f t="shared" si="0"/>
        <v>20400</v>
      </c>
      <c r="G31" s="12">
        <f t="shared" si="1"/>
        <v>1700</v>
      </c>
      <c r="H31" s="4">
        <f>H32</f>
        <v>0.23353893918371271</v>
      </c>
    </row>
    <row r="32" spans="1:10" ht="30">
      <c r="A32" s="14" t="s">
        <v>64</v>
      </c>
      <c r="B32" s="16" t="s">
        <v>65</v>
      </c>
      <c r="C32" s="21" t="s">
        <v>66</v>
      </c>
      <c r="D32" s="5">
        <v>0</v>
      </c>
      <c r="E32" s="5">
        <f>12*1700</f>
        <v>20400</v>
      </c>
      <c r="F32" s="5">
        <f t="shared" si="0"/>
        <v>20400</v>
      </c>
      <c r="G32" s="12">
        <f t="shared" si="1"/>
        <v>1700</v>
      </c>
      <c r="H32" s="5">
        <f>G32/$A$1</f>
        <v>0.23353893918371271</v>
      </c>
    </row>
    <row r="33" spans="1:9" s="26" customFormat="1" ht="31.5">
      <c r="A33" s="13" t="s">
        <v>90</v>
      </c>
      <c r="B33" s="25" t="s">
        <v>91</v>
      </c>
      <c r="C33" s="25"/>
      <c r="D33" s="4">
        <v>0</v>
      </c>
      <c r="E33" s="4">
        <v>437000</v>
      </c>
      <c r="F33" s="5">
        <f t="shared" si="0"/>
        <v>437000</v>
      </c>
      <c r="G33" s="12">
        <f t="shared" si="1"/>
        <v>36416.666666666664</v>
      </c>
      <c r="H33" s="4">
        <f>G33/$A$1</f>
        <v>5.0027704129060027</v>
      </c>
    </row>
    <row r="34" spans="1:9" ht="30.75">
      <c r="A34" s="14" t="s">
        <v>92</v>
      </c>
      <c r="B34" s="6" t="s">
        <v>38</v>
      </c>
      <c r="C34" s="6" t="s">
        <v>21</v>
      </c>
      <c r="D34" s="5">
        <v>0</v>
      </c>
      <c r="E34" s="4">
        <v>437000</v>
      </c>
      <c r="F34" s="5">
        <f>SUM(D34:E34)</f>
        <v>437000</v>
      </c>
      <c r="G34" s="12">
        <f t="shared" si="1"/>
        <v>36416.666666666664</v>
      </c>
      <c r="H34" s="5">
        <f>G34/$A$1</f>
        <v>5.0027704129060027</v>
      </c>
    </row>
    <row r="35" spans="1:9">
      <c r="A35" s="60" t="s">
        <v>67</v>
      </c>
      <c r="B35" s="60"/>
      <c r="C35" s="22"/>
      <c r="D35" s="19">
        <f>D9+D28+D31+D33</f>
        <v>361224.04200000002</v>
      </c>
      <c r="E35" s="19">
        <f>E9+E28+E31+E33</f>
        <v>1022864.686</v>
      </c>
      <c r="F35" s="19">
        <f>F9+F28+F31+F33</f>
        <v>1384088.7280000001</v>
      </c>
      <c r="G35" s="19">
        <f>F35/12</f>
        <v>115340.72733333334</v>
      </c>
      <c r="H35" s="19">
        <f>G35/A1</f>
        <v>15.845030062414427</v>
      </c>
      <c r="I35" s="20"/>
    </row>
    <row r="41" spans="1:9">
      <c r="B41" s="1" t="s">
        <v>68</v>
      </c>
    </row>
    <row r="43" spans="1:9">
      <c r="B43" s="1" t="s">
        <v>69</v>
      </c>
      <c r="C43" s="1" t="s">
        <v>70</v>
      </c>
      <c r="D43" s="1" t="s">
        <v>71</v>
      </c>
      <c r="G43" s="1" t="s">
        <v>72</v>
      </c>
    </row>
    <row r="44" spans="1:9">
      <c r="B44" s="23" t="s">
        <v>77</v>
      </c>
      <c r="C44" s="1">
        <v>5035</v>
      </c>
      <c r="D44" s="1">
        <v>753</v>
      </c>
      <c r="G44" s="1">
        <v>1157.5999999999999</v>
      </c>
    </row>
    <row r="45" spans="1:9">
      <c r="B45" s="1" t="s">
        <v>73</v>
      </c>
      <c r="C45" s="1">
        <v>1475</v>
      </c>
      <c r="D45" s="1">
        <v>221</v>
      </c>
      <c r="G45" s="1">
        <v>339.2</v>
      </c>
    </row>
    <row r="46" spans="1:9">
      <c r="B46" s="1" t="s">
        <v>75</v>
      </c>
      <c r="C46" s="1">
        <v>6774</v>
      </c>
      <c r="D46" s="1">
        <v>1013</v>
      </c>
      <c r="G46" s="1">
        <v>1557.4</v>
      </c>
    </row>
    <row r="47" spans="1:9">
      <c r="B47" s="1" t="s">
        <v>74</v>
      </c>
      <c r="C47" s="1">
        <v>2513</v>
      </c>
      <c r="D47" s="1">
        <v>376</v>
      </c>
      <c r="G47" s="1">
        <v>577.79999999999995</v>
      </c>
    </row>
    <row r="48" spans="1:9">
      <c r="B48" s="1" t="s">
        <v>76</v>
      </c>
      <c r="C48" s="1">
        <v>5948</v>
      </c>
      <c r="D48" s="1">
        <v>889</v>
      </c>
      <c r="G48" s="1">
        <v>1367.4</v>
      </c>
    </row>
  </sheetData>
  <mergeCells count="10">
    <mergeCell ref="B19:C19"/>
    <mergeCell ref="B28:C28"/>
    <mergeCell ref="B31:C31"/>
    <mergeCell ref="A35:B35"/>
    <mergeCell ref="D1:H1"/>
    <mergeCell ref="A4:H4"/>
    <mergeCell ref="A5:H5"/>
    <mergeCell ref="A6:H6"/>
    <mergeCell ref="B9:C9"/>
    <mergeCell ref="B10:C10"/>
  </mergeCells>
  <pageMargins left="0.75" right="0.75" top="1" bottom="1" header="0.5" footer="0.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opLeftCell="A19" workbookViewId="0">
      <selection activeCell="B21" sqref="B21"/>
    </sheetView>
  </sheetViews>
  <sheetFormatPr defaultRowHeight="15"/>
  <cols>
    <col min="1" max="1" width="12.7109375" style="1" customWidth="1"/>
    <col min="2" max="2" width="44.28515625" style="1" customWidth="1"/>
    <col min="3" max="3" width="18" style="1" customWidth="1"/>
    <col min="4" max="4" width="15.5703125" style="1" bestFit="1" customWidth="1"/>
    <col min="5" max="5" width="14.7109375" style="1" customWidth="1"/>
    <col min="6" max="6" width="23" style="1" bestFit="1" customWidth="1"/>
    <col min="7" max="7" width="21.7109375" style="1" customWidth="1"/>
    <col min="8" max="256" width="9.140625" style="1"/>
    <col min="257" max="257" width="10.140625" style="1" bestFit="1" customWidth="1"/>
    <col min="258" max="258" width="44.28515625" style="1" customWidth="1"/>
    <col min="259" max="259" width="30" style="1" customWidth="1"/>
    <col min="260" max="260" width="15.5703125" style="1" bestFit="1" customWidth="1"/>
    <col min="261" max="261" width="14.7109375" style="1" customWidth="1"/>
    <col min="262" max="262" width="23" style="1" bestFit="1" customWidth="1"/>
    <col min="263" max="263" width="21.7109375" style="1" customWidth="1"/>
    <col min="264" max="512" width="9.140625" style="1"/>
    <col min="513" max="513" width="10.140625" style="1" bestFit="1" customWidth="1"/>
    <col min="514" max="514" width="44.28515625" style="1" customWidth="1"/>
    <col min="515" max="515" width="30" style="1" customWidth="1"/>
    <col min="516" max="516" width="15.5703125" style="1" bestFit="1" customWidth="1"/>
    <col min="517" max="517" width="14.7109375" style="1" customWidth="1"/>
    <col min="518" max="518" width="23" style="1" bestFit="1" customWidth="1"/>
    <col min="519" max="519" width="21.7109375" style="1" customWidth="1"/>
    <col min="520" max="768" width="9.140625" style="1"/>
    <col min="769" max="769" width="10.140625" style="1" bestFit="1" customWidth="1"/>
    <col min="770" max="770" width="44.28515625" style="1" customWidth="1"/>
    <col min="771" max="771" width="30" style="1" customWidth="1"/>
    <col min="772" max="772" width="15.5703125" style="1" bestFit="1" customWidth="1"/>
    <col min="773" max="773" width="14.7109375" style="1" customWidth="1"/>
    <col min="774" max="774" width="23" style="1" bestFit="1" customWidth="1"/>
    <col min="775" max="775" width="21.7109375" style="1" customWidth="1"/>
    <col min="776" max="1024" width="9.140625" style="1"/>
    <col min="1025" max="1025" width="10.140625" style="1" bestFit="1" customWidth="1"/>
    <col min="1026" max="1026" width="44.28515625" style="1" customWidth="1"/>
    <col min="1027" max="1027" width="30" style="1" customWidth="1"/>
    <col min="1028" max="1028" width="15.5703125" style="1" bestFit="1" customWidth="1"/>
    <col min="1029" max="1029" width="14.7109375" style="1" customWidth="1"/>
    <col min="1030" max="1030" width="23" style="1" bestFit="1" customWidth="1"/>
    <col min="1031" max="1031" width="21.7109375" style="1" customWidth="1"/>
    <col min="1032" max="1280" width="9.140625" style="1"/>
    <col min="1281" max="1281" width="10.140625" style="1" bestFit="1" customWidth="1"/>
    <col min="1282" max="1282" width="44.28515625" style="1" customWidth="1"/>
    <col min="1283" max="1283" width="30" style="1" customWidth="1"/>
    <col min="1284" max="1284" width="15.5703125" style="1" bestFit="1" customWidth="1"/>
    <col min="1285" max="1285" width="14.7109375" style="1" customWidth="1"/>
    <col min="1286" max="1286" width="23" style="1" bestFit="1" customWidth="1"/>
    <col min="1287" max="1287" width="21.7109375" style="1" customWidth="1"/>
    <col min="1288" max="1536" width="9.140625" style="1"/>
    <col min="1537" max="1537" width="10.140625" style="1" bestFit="1" customWidth="1"/>
    <col min="1538" max="1538" width="44.28515625" style="1" customWidth="1"/>
    <col min="1539" max="1539" width="30" style="1" customWidth="1"/>
    <col min="1540" max="1540" width="15.5703125" style="1" bestFit="1" customWidth="1"/>
    <col min="1541" max="1541" width="14.7109375" style="1" customWidth="1"/>
    <col min="1542" max="1542" width="23" style="1" bestFit="1" customWidth="1"/>
    <col min="1543" max="1543" width="21.7109375" style="1" customWidth="1"/>
    <col min="1544" max="1792" width="9.140625" style="1"/>
    <col min="1793" max="1793" width="10.140625" style="1" bestFit="1" customWidth="1"/>
    <col min="1794" max="1794" width="44.28515625" style="1" customWidth="1"/>
    <col min="1795" max="1795" width="30" style="1" customWidth="1"/>
    <col min="1796" max="1796" width="15.5703125" style="1" bestFit="1" customWidth="1"/>
    <col min="1797" max="1797" width="14.7109375" style="1" customWidth="1"/>
    <col min="1798" max="1798" width="23" style="1" bestFit="1" customWidth="1"/>
    <col min="1799" max="1799" width="21.7109375" style="1" customWidth="1"/>
    <col min="1800" max="2048" width="9.140625" style="1"/>
    <col min="2049" max="2049" width="10.140625" style="1" bestFit="1" customWidth="1"/>
    <col min="2050" max="2050" width="44.28515625" style="1" customWidth="1"/>
    <col min="2051" max="2051" width="30" style="1" customWidth="1"/>
    <col min="2052" max="2052" width="15.5703125" style="1" bestFit="1" customWidth="1"/>
    <col min="2053" max="2053" width="14.7109375" style="1" customWidth="1"/>
    <col min="2054" max="2054" width="23" style="1" bestFit="1" customWidth="1"/>
    <col min="2055" max="2055" width="21.7109375" style="1" customWidth="1"/>
    <col min="2056" max="2304" width="9.140625" style="1"/>
    <col min="2305" max="2305" width="10.140625" style="1" bestFit="1" customWidth="1"/>
    <col min="2306" max="2306" width="44.28515625" style="1" customWidth="1"/>
    <col min="2307" max="2307" width="30" style="1" customWidth="1"/>
    <col min="2308" max="2308" width="15.5703125" style="1" bestFit="1" customWidth="1"/>
    <col min="2309" max="2309" width="14.7109375" style="1" customWidth="1"/>
    <col min="2310" max="2310" width="23" style="1" bestFit="1" customWidth="1"/>
    <col min="2311" max="2311" width="21.7109375" style="1" customWidth="1"/>
    <col min="2312" max="2560" width="9.140625" style="1"/>
    <col min="2561" max="2561" width="10.140625" style="1" bestFit="1" customWidth="1"/>
    <col min="2562" max="2562" width="44.28515625" style="1" customWidth="1"/>
    <col min="2563" max="2563" width="30" style="1" customWidth="1"/>
    <col min="2564" max="2564" width="15.5703125" style="1" bestFit="1" customWidth="1"/>
    <col min="2565" max="2565" width="14.7109375" style="1" customWidth="1"/>
    <col min="2566" max="2566" width="23" style="1" bestFit="1" customWidth="1"/>
    <col min="2567" max="2567" width="21.7109375" style="1" customWidth="1"/>
    <col min="2568" max="2816" width="9.140625" style="1"/>
    <col min="2817" max="2817" width="10.140625" style="1" bestFit="1" customWidth="1"/>
    <col min="2818" max="2818" width="44.28515625" style="1" customWidth="1"/>
    <col min="2819" max="2819" width="30" style="1" customWidth="1"/>
    <col min="2820" max="2820" width="15.5703125" style="1" bestFit="1" customWidth="1"/>
    <col min="2821" max="2821" width="14.7109375" style="1" customWidth="1"/>
    <col min="2822" max="2822" width="23" style="1" bestFit="1" customWidth="1"/>
    <col min="2823" max="2823" width="21.7109375" style="1" customWidth="1"/>
    <col min="2824" max="3072" width="9.140625" style="1"/>
    <col min="3073" max="3073" width="10.140625" style="1" bestFit="1" customWidth="1"/>
    <col min="3074" max="3074" width="44.28515625" style="1" customWidth="1"/>
    <col min="3075" max="3075" width="30" style="1" customWidth="1"/>
    <col min="3076" max="3076" width="15.5703125" style="1" bestFit="1" customWidth="1"/>
    <col min="3077" max="3077" width="14.7109375" style="1" customWidth="1"/>
    <col min="3078" max="3078" width="23" style="1" bestFit="1" customWidth="1"/>
    <col min="3079" max="3079" width="21.7109375" style="1" customWidth="1"/>
    <col min="3080" max="3328" width="9.140625" style="1"/>
    <col min="3329" max="3329" width="10.140625" style="1" bestFit="1" customWidth="1"/>
    <col min="3330" max="3330" width="44.28515625" style="1" customWidth="1"/>
    <col min="3331" max="3331" width="30" style="1" customWidth="1"/>
    <col min="3332" max="3332" width="15.5703125" style="1" bestFit="1" customWidth="1"/>
    <col min="3333" max="3333" width="14.7109375" style="1" customWidth="1"/>
    <col min="3334" max="3334" width="23" style="1" bestFit="1" customWidth="1"/>
    <col min="3335" max="3335" width="21.7109375" style="1" customWidth="1"/>
    <col min="3336" max="3584" width="9.140625" style="1"/>
    <col min="3585" max="3585" width="10.140625" style="1" bestFit="1" customWidth="1"/>
    <col min="3586" max="3586" width="44.28515625" style="1" customWidth="1"/>
    <col min="3587" max="3587" width="30" style="1" customWidth="1"/>
    <col min="3588" max="3588" width="15.5703125" style="1" bestFit="1" customWidth="1"/>
    <col min="3589" max="3589" width="14.7109375" style="1" customWidth="1"/>
    <col min="3590" max="3590" width="23" style="1" bestFit="1" customWidth="1"/>
    <col min="3591" max="3591" width="21.7109375" style="1" customWidth="1"/>
    <col min="3592" max="3840" width="9.140625" style="1"/>
    <col min="3841" max="3841" width="10.140625" style="1" bestFit="1" customWidth="1"/>
    <col min="3842" max="3842" width="44.28515625" style="1" customWidth="1"/>
    <col min="3843" max="3843" width="30" style="1" customWidth="1"/>
    <col min="3844" max="3844" width="15.5703125" style="1" bestFit="1" customWidth="1"/>
    <col min="3845" max="3845" width="14.7109375" style="1" customWidth="1"/>
    <col min="3846" max="3846" width="23" style="1" bestFit="1" customWidth="1"/>
    <col min="3847" max="3847" width="21.7109375" style="1" customWidth="1"/>
    <col min="3848" max="4096" width="9.140625" style="1"/>
    <col min="4097" max="4097" width="10.140625" style="1" bestFit="1" customWidth="1"/>
    <col min="4098" max="4098" width="44.28515625" style="1" customWidth="1"/>
    <col min="4099" max="4099" width="30" style="1" customWidth="1"/>
    <col min="4100" max="4100" width="15.5703125" style="1" bestFit="1" customWidth="1"/>
    <col min="4101" max="4101" width="14.7109375" style="1" customWidth="1"/>
    <col min="4102" max="4102" width="23" style="1" bestFit="1" customWidth="1"/>
    <col min="4103" max="4103" width="21.7109375" style="1" customWidth="1"/>
    <col min="4104" max="4352" width="9.140625" style="1"/>
    <col min="4353" max="4353" width="10.140625" style="1" bestFit="1" customWidth="1"/>
    <col min="4354" max="4354" width="44.28515625" style="1" customWidth="1"/>
    <col min="4355" max="4355" width="30" style="1" customWidth="1"/>
    <col min="4356" max="4356" width="15.5703125" style="1" bestFit="1" customWidth="1"/>
    <col min="4357" max="4357" width="14.7109375" style="1" customWidth="1"/>
    <col min="4358" max="4358" width="23" style="1" bestFit="1" customWidth="1"/>
    <col min="4359" max="4359" width="21.7109375" style="1" customWidth="1"/>
    <col min="4360" max="4608" width="9.140625" style="1"/>
    <col min="4609" max="4609" width="10.140625" style="1" bestFit="1" customWidth="1"/>
    <col min="4610" max="4610" width="44.28515625" style="1" customWidth="1"/>
    <col min="4611" max="4611" width="30" style="1" customWidth="1"/>
    <col min="4612" max="4612" width="15.5703125" style="1" bestFit="1" customWidth="1"/>
    <col min="4613" max="4613" width="14.7109375" style="1" customWidth="1"/>
    <col min="4614" max="4614" width="23" style="1" bestFit="1" customWidth="1"/>
    <col min="4615" max="4615" width="21.7109375" style="1" customWidth="1"/>
    <col min="4616" max="4864" width="9.140625" style="1"/>
    <col min="4865" max="4865" width="10.140625" style="1" bestFit="1" customWidth="1"/>
    <col min="4866" max="4866" width="44.28515625" style="1" customWidth="1"/>
    <col min="4867" max="4867" width="30" style="1" customWidth="1"/>
    <col min="4868" max="4868" width="15.5703125" style="1" bestFit="1" customWidth="1"/>
    <col min="4869" max="4869" width="14.7109375" style="1" customWidth="1"/>
    <col min="4870" max="4870" width="23" style="1" bestFit="1" customWidth="1"/>
    <col min="4871" max="4871" width="21.7109375" style="1" customWidth="1"/>
    <col min="4872" max="5120" width="9.140625" style="1"/>
    <col min="5121" max="5121" width="10.140625" style="1" bestFit="1" customWidth="1"/>
    <col min="5122" max="5122" width="44.28515625" style="1" customWidth="1"/>
    <col min="5123" max="5123" width="30" style="1" customWidth="1"/>
    <col min="5124" max="5124" width="15.5703125" style="1" bestFit="1" customWidth="1"/>
    <col min="5125" max="5125" width="14.7109375" style="1" customWidth="1"/>
    <col min="5126" max="5126" width="23" style="1" bestFit="1" customWidth="1"/>
    <col min="5127" max="5127" width="21.7109375" style="1" customWidth="1"/>
    <col min="5128" max="5376" width="9.140625" style="1"/>
    <col min="5377" max="5377" width="10.140625" style="1" bestFit="1" customWidth="1"/>
    <col min="5378" max="5378" width="44.28515625" style="1" customWidth="1"/>
    <col min="5379" max="5379" width="30" style="1" customWidth="1"/>
    <col min="5380" max="5380" width="15.5703125" style="1" bestFit="1" customWidth="1"/>
    <col min="5381" max="5381" width="14.7109375" style="1" customWidth="1"/>
    <col min="5382" max="5382" width="23" style="1" bestFit="1" customWidth="1"/>
    <col min="5383" max="5383" width="21.7109375" style="1" customWidth="1"/>
    <col min="5384" max="5632" width="9.140625" style="1"/>
    <col min="5633" max="5633" width="10.140625" style="1" bestFit="1" customWidth="1"/>
    <col min="5634" max="5634" width="44.28515625" style="1" customWidth="1"/>
    <col min="5635" max="5635" width="30" style="1" customWidth="1"/>
    <col min="5636" max="5636" width="15.5703125" style="1" bestFit="1" customWidth="1"/>
    <col min="5637" max="5637" width="14.7109375" style="1" customWidth="1"/>
    <col min="5638" max="5638" width="23" style="1" bestFit="1" customWidth="1"/>
    <col min="5639" max="5639" width="21.7109375" style="1" customWidth="1"/>
    <col min="5640" max="5888" width="9.140625" style="1"/>
    <col min="5889" max="5889" width="10.140625" style="1" bestFit="1" customWidth="1"/>
    <col min="5890" max="5890" width="44.28515625" style="1" customWidth="1"/>
    <col min="5891" max="5891" width="30" style="1" customWidth="1"/>
    <col min="5892" max="5892" width="15.5703125" style="1" bestFit="1" customWidth="1"/>
    <col min="5893" max="5893" width="14.7109375" style="1" customWidth="1"/>
    <col min="5894" max="5894" width="23" style="1" bestFit="1" customWidth="1"/>
    <col min="5895" max="5895" width="21.7109375" style="1" customWidth="1"/>
    <col min="5896" max="6144" width="9.140625" style="1"/>
    <col min="6145" max="6145" width="10.140625" style="1" bestFit="1" customWidth="1"/>
    <col min="6146" max="6146" width="44.28515625" style="1" customWidth="1"/>
    <col min="6147" max="6147" width="30" style="1" customWidth="1"/>
    <col min="6148" max="6148" width="15.5703125" style="1" bestFit="1" customWidth="1"/>
    <col min="6149" max="6149" width="14.7109375" style="1" customWidth="1"/>
    <col min="6150" max="6150" width="23" style="1" bestFit="1" customWidth="1"/>
    <col min="6151" max="6151" width="21.7109375" style="1" customWidth="1"/>
    <col min="6152" max="6400" width="9.140625" style="1"/>
    <col min="6401" max="6401" width="10.140625" style="1" bestFit="1" customWidth="1"/>
    <col min="6402" max="6402" width="44.28515625" style="1" customWidth="1"/>
    <col min="6403" max="6403" width="30" style="1" customWidth="1"/>
    <col min="6404" max="6404" width="15.5703125" style="1" bestFit="1" customWidth="1"/>
    <col min="6405" max="6405" width="14.7109375" style="1" customWidth="1"/>
    <col min="6406" max="6406" width="23" style="1" bestFit="1" customWidth="1"/>
    <col min="6407" max="6407" width="21.7109375" style="1" customWidth="1"/>
    <col min="6408" max="6656" width="9.140625" style="1"/>
    <col min="6657" max="6657" width="10.140625" style="1" bestFit="1" customWidth="1"/>
    <col min="6658" max="6658" width="44.28515625" style="1" customWidth="1"/>
    <col min="6659" max="6659" width="30" style="1" customWidth="1"/>
    <col min="6660" max="6660" width="15.5703125" style="1" bestFit="1" customWidth="1"/>
    <col min="6661" max="6661" width="14.7109375" style="1" customWidth="1"/>
    <col min="6662" max="6662" width="23" style="1" bestFit="1" customWidth="1"/>
    <col min="6663" max="6663" width="21.7109375" style="1" customWidth="1"/>
    <col min="6664" max="6912" width="9.140625" style="1"/>
    <col min="6913" max="6913" width="10.140625" style="1" bestFit="1" customWidth="1"/>
    <col min="6914" max="6914" width="44.28515625" style="1" customWidth="1"/>
    <col min="6915" max="6915" width="30" style="1" customWidth="1"/>
    <col min="6916" max="6916" width="15.5703125" style="1" bestFit="1" customWidth="1"/>
    <col min="6917" max="6917" width="14.7109375" style="1" customWidth="1"/>
    <col min="6918" max="6918" width="23" style="1" bestFit="1" customWidth="1"/>
    <col min="6919" max="6919" width="21.7109375" style="1" customWidth="1"/>
    <col min="6920" max="7168" width="9.140625" style="1"/>
    <col min="7169" max="7169" width="10.140625" style="1" bestFit="1" customWidth="1"/>
    <col min="7170" max="7170" width="44.28515625" style="1" customWidth="1"/>
    <col min="7171" max="7171" width="30" style="1" customWidth="1"/>
    <col min="7172" max="7172" width="15.5703125" style="1" bestFit="1" customWidth="1"/>
    <col min="7173" max="7173" width="14.7109375" style="1" customWidth="1"/>
    <col min="7174" max="7174" width="23" style="1" bestFit="1" customWidth="1"/>
    <col min="7175" max="7175" width="21.7109375" style="1" customWidth="1"/>
    <col min="7176" max="7424" width="9.140625" style="1"/>
    <col min="7425" max="7425" width="10.140625" style="1" bestFit="1" customWidth="1"/>
    <col min="7426" max="7426" width="44.28515625" style="1" customWidth="1"/>
    <col min="7427" max="7427" width="30" style="1" customWidth="1"/>
    <col min="7428" max="7428" width="15.5703125" style="1" bestFit="1" customWidth="1"/>
    <col min="7429" max="7429" width="14.7109375" style="1" customWidth="1"/>
    <col min="7430" max="7430" width="23" style="1" bestFit="1" customWidth="1"/>
    <col min="7431" max="7431" width="21.7109375" style="1" customWidth="1"/>
    <col min="7432" max="7680" width="9.140625" style="1"/>
    <col min="7681" max="7681" width="10.140625" style="1" bestFit="1" customWidth="1"/>
    <col min="7682" max="7682" width="44.28515625" style="1" customWidth="1"/>
    <col min="7683" max="7683" width="30" style="1" customWidth="1"/>
    <col min="7684" max="7684" width="15.5703125" style="1" bestFit="1" customWidth="1"/>
    <col min="7685" max="7685" width="14.7109375" style="1" customWidth="1"/>
    <col min="7686" max="7686" width="23" style="1" bestFit="1" customWidth="1"/>
    <col min="7687" max="7687" width="21.7109375" style="1" customWidth="1"/>
    <col min="7688" max="7936" width="9.140625" style="1"/>
    <col min="7937" max="7937" width="10.140625" style="1" bestFit="1" customWidth="1"/>
    <col min="7938" max="7938" width="44.28515625" style="1" customWidth="1"/>
    <col min="7939" max="7939" width="30" style="1" customWidth="1"/>
    <col min="7940" max="7940" width="15.5703125" style="1" bestFit="1" customWidth="1"/>
    <col min="7941" max="7941" width="14.7109375" style="1" customWidth="1"/>
    <col min="7942" max="7942" width="23" style="1" bestFit="1" customWidth="1"/>
    <col min="7943" max="7943" width="21.7109375" style="1" customWidth="1"/>
    <col min="7944" max="8192" width="9.140625" style="1"/>
    <col min="8193" max="8193" width="10.140625" style="1" bestFit="1" customWidth="1"/>
    <col min="8194" max="8194" width="44.28515625" style="1" customWidth="1"/>
    <col min="8195" max="8195" width="30" style="1" customWidth="1"/>
    <col min="8196" max="8196" width="15.5703125" style="1" bestFit="1" customWidth="1"/>
    <col min="8197" max="8197" width="14.7109375" style="1" customWidth="1"/>
    <col min="8198" max="8198" width="23" style="1" bestFit="1" customWidth="1"/>
    <col min="8199" max="8199" width="21.7109375" style="1" customWidth="1"/>
    <col min="8200" max="8448" width="9.140625" style="1"/>
    <col min="8449" max="8449" width="10.140625" style="1" bestFit="1" customWidth="1"/>
    <col min="8450" max="8450" width="44.28515625" style="1" customWidth="1"/>
    <col min="8451" max="8451" width="30" style="1" customWidth="1"/>
    <col min="8452" max="8452" width="15.5703125" style="1" bestFit="1" customWidth="1"/>
    <col min="8453" max="8453" width="14.7109375" style="1" customWidth="1"/>
    <col min="8454" max="8454" width="23" style="1" bestFit="1" customWidth="1"/>
    <col min="8455" max="8455" width="21.7109375" style="1" customWidth="1"/>
    <col min="8456" max="8704" width="9.140625" style="1"/>
    <col min="8705" max="8705" width="10.140625" style="1" bestFit="1" customWidth="1"/>
    <col min="8706" max="8706" width="44.28515625" style="1" customWidth="1"/>
    <col min="8707" max="8707" width="30" style="1" customWidth="1"/>
    <col min="8708" max="8708" width="15.5703125" style="1" bestFit="1" customWidth="1"/>
    <col min="8709" max="8709" width="14.7109375" style="1" customWidth="1"/>
    <col min="8710" max="8710" width="23" style="1" bestFit="1" customWidth="1"/>
    <col min="8711" max="8711" width="21.7109375" style="1" customWidth="1"/>
    <col min="8712" max="8960" width="9.140625" style="1"/>
    <col min="8961" max="8961" width="10.140625" style="1" bestFit="1" customWidth="1"/>
    <col min="8962" max="8962" width="44.28515625" style="1" customWidth="1"/>
    <col min="8963" max="8963" width="30" style="1" customWidth="1"/>
    <col min="8964" max="8964" width="15.5703125" style="1" bestFit="1" customWidth="1"/>
    <col min="8965" max="8965" width="14.7109375" style="1" customWidth="1"/>
    <col min="8966" max="8966" width="23" style="1" bestFit="1" customWidth="1"/>
    <col min="8967" max="8967" width="21.7109375" style="1" customWidth="1"/>
    <col min="8968" max="9216" width="9.140625" style="1"/>
    <col min="9217" max="9217" width="10.140625" style="1" bestFit="1" customWidth="1"/>
    <col min="9218" max="9218" width="44.28515625" style="1" customWidth="1"/>
    <col min="9219" max="9219" width="30" style="1" customWidth="1"/>
    <col min="9220" max="9220" width="15.5703125" style="1" bestFit="1" customWidth="1"/>
    <col min="9221" max="9221" width="14.7109375" style="1" customWidth="1"/>
    <col min="9222" max="9222" width="23" style="1" bestFit="1" customWidth="1"/>
    <col min="9223" max="9223" width="21.7109375" style="1" customWidth="1"/>
    <col min="9224" max="9472" width="9.140625" style="1"/>
    <col min="9473" max="9473" width="10.140625" style="1" bestFit="1" customWidth="1"/>
    <col min="9474" max="9474" width="44.28515625" style="1" customWidth="1"/>
    <col min="9475" max="9475" width="30" style="1" customWidth="1"/>
    <col min="9476" max="9476" width="15.5703125" style="1" bestFit="1" customWidth="1"/>
    <col min="9477" max="9477" width="14.7109375" style="1" customWidth="1"/>
    <col min="9478" max="9478" width="23" style="1" bestFit="1" customWidth="1"/>
    <col min="9479" max="9479" width="21.7109375" style="1" customWidth="1"/>
    <col min="9480" max="9728" width="9.140625" style="1"/>
    <col min="9729" max="9729" width="10.140625" style="1" bestFit="1" customWidth="1"/>
    <col min="9730" max="9730" width="44.28515625" style="1" customWidth="1"/>
    <col min="9731" max="9731" width="30" style="1" customWidth="1"/>
    <col min="9732" max="9732" width="15.5703125" style="1" bestFit="1" customWidth="1"/>
    <col min="9733" max="9733" width="14.7109375" style="1" customWidth="1"/>
    <col min="9734" max="9734" width="23" style="1" bestFit="1" customWidth="1"/>
    <col min="9735" max="9735" width="21.7109375" style="1" customWidth="1"/>
    <col min="9736" max="9984" width="9.140625" style="1"/>
    <col min="9985" max="9985" width="10.140625" style="1" bestFit="1" customWidth="1"/>
    <col min="9986" max="9986" width="44.28515625" style="1" customWidth="1"/>
    <col min="9987" max="9987" width="30" style="1" customWidth="1"/>
    <col min="9988" max="9988" width="15.5703125" style="1" bestFit="1" customWidth="1"/>
    <col min="9989" max="9989" width="14.7109375" style="1" customWidth="1"/>
    <col min="9990" max="9990" width="23" style="1" bestFit="1" customWidth="1"/>
    <col min="9991" max="9991" width="21.7109375" style="1" customWidth="1"/>
    <col min="9992" max="10240" width="9.140625" style="1"/>
    <col min="10241" max="10241" width="10.140625" style="1" bestFit="1" customWidth="1"/>
    <col min="10242" max="10242" width="44.28515625" style="1" customWidth="1"/>
    <col min="10243" max="10243" width="30" style="1" customWidth="1"/>
    <col min="10244" max="10244" width="15.5703125" style="1" bestFit="1" customWidth="1"/>
    <col min="10245" max="10245" width="14.7109375" style="1" customWidth="1"/>
    <col min="10246" max="10246" width="23" style="1" bestFit="1" customWidth="1"/>
    <col min="10247" max="10247" width="21.7109375" style="1" customWidth="1"/>
    <col min="10248" max="10496" width="9.140625" style="1"/>
    <col min="10497" max="10497" width="10.140625" style="1" bestFit="1" customWidth="1"/>
    <col min="10498" max="10498" width="44.28515625" style="1" customWidth="1"/>
    <col min="10499" max="10499" width="30" style="1" customWidth="1"/>
    <col min="10500" max="10500" width="15.5703125" style="1" bestFit="1" customWidth="1"/>
    <col min="10501" max="10501" width="14.7109375" style="1" customWidth="1"/>
    <col min="10502" max="10502" width="23" style="1" bestFit="1" customWidth="1"/>
    <col min="10503" max="10503" width="21.7109375" style="1" customWidth="1"/>
    <col min="10504" max="10752" width="9.140625" style="1"/>
    <col min="10753" max="10753" width="10.140625" style="1" bestFit="1" customWidth="1"/>
    <col min="10754" max="10754" width="44.28515625" style="1" customWidth="1"/>
    <col min="10755" max="10755" width="30" style="1" customWidth="1"/>
    <col min="10756" max="10756" width="15.5703125" style="1" bestFit="1" customWidth="1"/>
    <col min="10757" max="10757" width="14.7109375" style="1" customWidth="1"/>
    <col min="10758" max="10758" width="23" style="1" bestFit="1" customWidth="1"/>
    <col min="10759" max="10759" width="21.7109375" style="1" customWidth="1"/>
    <col min="10760" max="11008" width="9.140625" style="1"/>
    <col min="11009" max="11009" width="10.140625" style="1" bestFit="1" customWidth="1"/>
    <col min="11010" max="11010" width="44.28515625" style="1" customWidth="1"/>
    <col min="11011" max="11011" width="30" style="1" customWidth="1"/>
    <col min="11012" max="11012" width="15.5703125" style="1" bestFit="1" customWidth="1"/>
    <col min="11013" max="11013" width="14.7109375" style="1" customWidth="1"/>
    <col min="11014" max="11014" width="23" style="1" bestFit="1" customWidth="1"/>
    <col min="11015" max="11015" width="21.7109375" style="1" customWidth="1"/>
    <col min="11016" max="11264" width="9.140625" style="1"/>
    <col min="11265" max="11265" width="10.140625" style="1" bestFit="1" customWidth="1"/>
    <col min="11266" max="11266" width="44.28515625" style="1" customWidth="1"/>
    <col min="11267" max="11267" width="30" style="1" customWidth="1"/>
    <col min="11268" max="11268" width="15.5703125" style="1" bestFit="1" customWidth="1"/>
    <col min="11269" max="11269" width="14.7109375" style="1" customWidth="1"/>
    <col min="11270" max="11270" width="23" style="1" bestFit="1" customWidth="1"/>
    <col min="11271" max="11271" width="21.7109375" style="1" customWidth="1"/>
    <col min="11272" max="11520" width="9.140625" style="1"/>
    <col min="11521" max="11521" width="10.140625" style="1" bestFit="1" customWidth="1"/>
    <col min="11522" max="11522" width="44.28515625" style="1" customWidth="1"/>
    <col min="11523" max="11523" width="30" style="1" customWidth="1"/>
    <col min="11524" max="11524" width="15.5703125" style="1" bestFit="1" customWidth="1"/>
    <col min="11525" max="11525" width="14.7109375" style="1" customWidth="1"/>
    <col min="11526" max="11526" width="23" style="1" bestFit="1" customWidth="1"/>
    <col min="11527" max="11527" width="21.7109375" style="1" customWidth="1"/>
    <col min="11528" max="11776" width="9.140625" style="1"/>
    <col min="11777" max="11777" width="10.140625" style="1" bestFit="1" customWidth="1"/>
    <col min="11778" max="11778" width="44.28515625" style="1" customWidth="1"/>
    <col min="11779" max="11779" width="30" style="1" customWidth="1"/>
    <col min="11780" max="11780" width="15.5703125" style="1" bestFit="1" customWidth="1"/>
    <col min="11781" max="11781" width="14.7109375" style="1" customWidth="1"/>
    <col min="11782" max="11782" width="23" style="1" bestFit="1" customWidth="1"/>
    <col min="11783" max="11783" width="21.7109375" style="1" customWidth="1"/>
    <col min="11784" max="12032" width="9.140625" style="1"/>
    <col min="12033" max="12033" width="10.140625" style="1" bestFit="1" customWidth="1"/>
    <col min="12034" max="12034" width="44.28515625" style="1" customWidth="1"/>
    <col min="12035" max="12035" width="30" style="1" customWidth="1"/>
    <col min="12036" max="12036" width="15.5703125" style="1" bestFit="1" customWidth="1"/>
    <col min="12037" max="12037" width="14.7109375" style="1" customWidth="1"/>
    <col min="12038" max="12038" width="23" style="1" bestFit="1" customWidth="1"/>
    <col min="12039" max="12039" width="21.7109375" style="1" customWidth="1"/>
    <col min="12040" max="12288" width="9.140625" style="1"/>
    <col min="12289" max="12289" width="10.140625" style="1" bestFit="1" customWidth="1"/>
    <col min="12290" max="12290" width="44.28515625" style="1" customWidth="1"/>
    <col min="12291" max="12291" width="30" style="1" customWidth="1"/>
    <col min="12292" max="12292" width="15.5703125" style="1" bestFit="1" customWidth="1"/>
    <col min="12293" max="12293" width="14.7109375" style="1" customWidth="1"/>
    <col min="12294" max="12294" width="23" style="1" bestFit="1" customWidth="1"/>
    <col min="12295" max="12295" width="21.7109375" style="1" customWidth="1"/>
    <col min="12296" max="12544" width="9.140625" style="1"/>
    <col min="12545" max="12545" width="10.140625" style="1" bestFit="1" customWidth="1"/>
    <col min="12546" max="12546" width="44.28515625" style="1" customWidth="1"/>
    <col min="12547" max="12547" width="30" style="1" customWidth="1"/>
    <col min="12548" max="12548" width="15.5703125" style="1" bestFit="1" customWidth="1"/>
    <col min="12549" max="12549" width="14.7109375" style="1" customWidth="1"/>
    <col min="12550" max="12550" width="23" style="1" bestFit="1" customWidth="1"/>
    <col min="12551" max="12551" width="21.7109375" style="1" customWidth="1"/>
    <col min="12552" max="12800" width="9.140625" style="1"/>
    <col min="12801" max="12801" width="10.140625" style="1" bestFit="1" customWidth="1"/>
    <col min="12802" max="12802" width="44.28515625" style="1" customWidth="1"/>
    <col min="12803" max="12803" width="30" style="1" customWidth="1"/>
    <col min="12804" max="12804" width="15.5703125" style="1" bestFit="1" customWidth="1"/>
    <col min="12805" max="12805" width="14.7109375" style="1" customWidth="1"/>
    <col min="12806" max="12806" width="23" style="1" bestFit="1" customWidth="1"/>
    <col min="12807" max="12807" width="21.7109375" style="1" customWidth="1"/>
    <col min="12808" max="13056" width="9.140625" style="1"/>
    <col min="13057" max="13057" width="10.140625" style="1" bestFit="1" customWidth="1"/>
    <col min="13058" max="13058" width="44.28515625" style="1" customWidth="1"/>
    <col min="13059" max="13059" width="30" style="1" customWidth="1"/>
    <col min="13060" max="13060" width="15.5703125" style="1" bestFit="1" customWidth="1"/>
    <col min="13061" max="13061" width="14.7109375" style="1" customWidth="1"/>
    <col min="13062" max="13062" width="23" style="1" bestFit="1" customWidth="1"/>
    <col min="13063" max="13063" width="21.7109375" style="1" customWidth="1"/>
    <col min="13064" max="13312" width="9.140625" style="1"/>
    <col min="13313" max="13313" width="10.140625" style="1" bestFit="1" customWidth="1"/>
    <col min="13314" max="13314" width="44.28515625" style="1" customWidth="1"/>
    <col min="13315" max="13315" width="30" style="1" customWidth="1"/>
    <col min="13316" max="13316" width="15.5703125" style="1" bestFit="1" customWidth="1"/>
    <col min="13317" max="13317" width="14.7109375" style="1" customWidth="1"/>
    <col min="13318" max="13318" width="23" style="1" bestFit="1" customWidth="1"/>
    <col min="13319" max="13319" width="21.7109375" style="1" customWidth="1"/>
    <col min="13320" max="13568" width="9.140625" style="1"/>
    <col min="13569" max="13569" width="10.140625" style="1" bestFit="1" customWidth="1"/>
    <col min="13570" max="13570" width="44.28515625" style="1" customWidth="1"/>
    <col min="13571" max="13571" width="30" style="1" customWidth="1"/>
    <col min="13572" max="13572" width="15.5703125" style="1" bestFit="1" customWidth="1"/>
    <col min="13573" max="13573" width="14.7109375" style="1" customWidth="1"/>
    <col min="13574" max="13574" width="23" style="1" bestFit="1" customWidth="1"/>
    <col min="13575" max="13575" width="21.7109375" style="1" customWidth="1"/>
    <col min="13576" max="13824" width="9.140625" style="1"/>
    <col min="13825" max="13825" width="10.140625" style="1" bestFit="1" customWidth="1"/>
    <col min="13826" max="13826" width="44.28515625" style="1" customWidth="1"/>
    <col min="13827" max="13827" width="30" style="1" customWidth="1"/>
    <col min="13828" max="13828" width="15.5703125" style="1" bestFit="1" customWidth="1"/>
    <col min="13829" max="13829" width="14.7109375" style="1" customWidth="1"/>
    <col min="13830" max="13830" width="23" style="1" bestFit="1" customWidth="1"/>
    <col min="13831" max="13831" width="21.7109375" style="1" customWidth="1"/>
    <col min="13832" max="14080" width="9.140625" style="1"/>
    <col min="14081" max="14081" width="10.140625" style="1" bestFit="1" customWidth="1"/>
    <col min="14082" max="14082" width="44.28515625" style="1" customWidth="1"/>
    <col min="14083" max="14083" width="30" style="1" customWidth="1"/>
    <col min="14084" max="14084" width="15.5703125" style="1" bestFit="1" customWidth="1"/>
    <col min="14085" max="14085" width="14.7109375" style="1" customWidth="1"/>
    <col min="14086" max="14086" width="23" style="1" bestFit="1" customWidth="1"/>
    <col min="14087" max="14087" width="21.7109375" style="1" customWidth="1"/>
    <col min="14088" max="14336" width="9.140625" style="1"/>
    <col min="14337" max="14337" width="10.140625" style="1" bestFit="1" customWidth="1"/>
    <col min="14338" max="14338" width="44.28515625" style="1" customWidth="1"/>
    <col min="14339" max="14339" width="30" style="1" customWidth="1"/>
    <col min="14340" max="14340" width="15.5703125" style="1" bestFit="1" customWidth="1"/>
    <col min="14341" max="14341" width="14.7109375" style="1" customWidth="1"/>
    <col min="14342" max="14342" width="23" style="1" bestFit="1" customWidth="1"/>
    <col min="14343" max="14343" width="21.7109375" style="1" customWidth="1"/>
    <col min="14344" max="14592" width="9.140625" style="1"/>
    <col min="14593" max="14593" width="10.140625" style="1" bestFit="1" customWidth="1"/>
    <col min="14594" max="14594" width="44.28515625" style="1" customWidth="1"/>
    <col min="14595" max="14595" width="30" style="1" customWidth="1"/>
    <col min="14596" max="14596" width="15.5703125" style="1" bestFit="1" customWidth="1"/>
    <col min="14597" max="14597" width="14.7109375" style="1" customWidth="1"/>
    <col min="14598" max="14598" width="23" style="1" bestFit="1" customWidth="1"/>
    <col min="14599" max="14599" width="21.7109375" style="1" customWidth="1"/>
    <col min="14600" max="14848" width="9.140625" style="1"/>
    <col min="14849" max="14849" width="10.140625" style="1" bestFit="1" customWidth="1"/>
    <col min="14850" max="14850" width="44.28515625" style="1" customWidth="1"/>
    <col min="14851" max="14851" width="30" style="1" customWidth="1"/>
    <col min="14852" max="14852" width="15.5703125" style="1" bestFit="1" customWidth="1"/>
    <col min="14853" max="14853" width="14.7109375" style="1" customWidth="1"/>
    <col min="14854" max="14854" width="23" style="1" bestFit="1" customWidth="1"/>
    <col min="14855" max="14855" width="21.7109375" style="1" customWidth="1"/>
    <col min="14856" max="15104" width="9.140625" style="1"/>
    <col min="15105" max="15105" width="10.140625" style="1" bestFit="1" customWidth="1"/>
    <col min="15106" max="15106" width="44.28515625" style="1" customWidth="1"/>
    <col min="15107" max="15107" width="30" style="1" customWidth="1"/>
    <col min="15108" max="15108" width="15.5703125" style="1" bestFit="1" customWidth="1"/>
    <col min="15109" max="15109" width="14.7109375" style="1" customWidth="1"/>
    <col min="15110" max="15110" width="23" style="1" bestFit="1" customWidth="1"/>
    <col min="15111" max="15111" width="21.7109375" style="1" customWidth="1"/>
    <col min="15112" max="15360" width="9.140625" style="1"/>
    <col min="15361" max="15361" width="10.140625" style="1" bestFit="1" customWidth="1"/>
    <col min="15362" max="15362" width="44.28515625" style="1" customWidth="1"/>
    <col min="15363" max="15363" width="30" style="1" customWidth="1"/>
    <col min="15364" max="15364" width="15.5703125" style="1" bestFit="1" customWidth="1"/>
    <col min="15365" max="15365" width="14.7109375" style="1" customWidth="1"/>
    <col min="15366" max="15366" width="23" style="1" bestFit="1" customWidth="1"/>
    <col min="15367" max="15367" width="21.7109375" style="1" customWidth="1"/>
    <col min="15368" max="15616" width="9.140625" style="1"/>
    <col min="15617" max="15617" width="10.140625" style="1" bestFit="1" customWidth="1"/>
    <col min="15618" max="15618" width="44.28515625" style="1" customWidth="1"/>
    <col min="15619" max="15619" width="30" style="1" customWidth="1"/>
    <col min="15620" max="15620" width="15.5703125" style="1" bestFit="1" customWidth="1"/>
    <col min="15621" max="15621" width="14.7109375" style="1" customWidth="1"/>
    <col min="15622" max="15622" width="23" style="1" bestFit="1" customWidth="1"/>
    <col min="15623" max="15623" width="21.7109375" style="1" customWidth="1"/>
    <col min="15624" max="15872" width="9.140625" style="1"/>
    <col min="15873" max="15873" width="10.140625" style="1" bestFit="1" customWidth="1"/>
    <col min="15874" max="15874" width="44.28515625" style="1" customWidth="1"/>
    <col min="15875" max="15875" width="30" style="1" customWidth="1"/>
    <col min="15876" max="15876" width="15.5703125" style="1" bestFit="1" customWidth="1"/>
    <col min="15877" max="15877" width="14.7109375" style="1" customWidth="1"/>
    <col min="15878" max="15878" width="23" style="1" bestFit="1" customWidth="1"/>
    <col min="15879" max="15879" width="21.7109375" style="1" customWidth="1"/>
    <col min="15880" max="16128" width="9.140625" style="1"/>
    <col min="16129" max="16129" width="10.140625" style="1" bestFit="1" customWidth="1"/>
    <col min="16130" max="16130" width="44.28515625" style="1" customWidth="1"/>
    <col min="16131" max="16131" width="30" style="1" customWidth="1"/>
    <col min="16132" max="16132" width="15.5703125" style="1" bestFit="1" customWidth="1"/>
    <col min="16133" max="16133" width="14.7109375" style="1" customWidth="1"/>
    <col min="16134" max="16134" width="23" style="1" bestFit="1" customWidth="1"/>
    <col min="16135" max="16135" width="21.7109375" style="1" customWidth="1"/>
    <col min="16136" max="16384" width="9.140625" style="1"/>
  </cols>
  <sheetData>
    <row r="1" spans="1:10" ht="44.25" customHeight="1">
      <c r="A1" s="2">
        <v>7279.3</v>
      </c>
      <c r="D1" s="61" t="s">
        <v>5</v>
      </c>
      <c r="E1" s="61"/>
      <c r="F1" s="62"/>
    </row>
    <row r="4" spans="1:10" ht="15.75">
      <c r="A4" s="63" t="s">
        <v>6</v>
      </c>
      <c r="B4" s="63"/>
      <c r="C4" s="63"/>
      <c r="D4" s="63"/>
      <c r="E4" s="63"/>
      <c r="F4" s="63"/>
    </row>
    <row r="5" spans="1:10" ht="15.75">
      <c r="A5" s="63"/>
      <c r="B5" s="63"/>
      <c r="C5" s="63"/>
      <c r="D5" s="63"/>
      <c r="E5" s="63"/>
      <c r="F5" s="63"/>
    </row>
    <row r="6" spans="1:10" ht="15.75">
      <c r="A6" s="63" t="s">
        <v>7</v>
      </c>
      <c r="B6" s="63"/>
      <c r="C6" s="63"/>
      <c r="D6" s="63"/>
      <c r="E6" s="63"/>
      <c r="F6" s="63"/>
    </row>
    <row r="7" spans="1:10" ht="30">
      <c r="F7" s="8" t="s">
        <v>8</v>
      </c>
      <c r="G7" s="1" t="s">
        <v>9</v>
      </c>
    </row>
    <row r="8" spans="1:10" ht="47.25">
      <c r="A8" s="9" t="s">
        <v>10</v>
      </c>
      <c r="B8" s="9" t="s">
        <v>11</v>
      </c>
      <c r="C8" s="10" t="s">
        <v>12</v>
      </c>
      <c r="D8" s="10" t="s">
        <v>13</v>
      </c>
      <c r="E8" s="10" t="s">
        <v>14</v>
      </c>
      <c r="F8" s="10" t="s">
        <v>15</v>
      </c>
    </row>
    <row r="9" spans="1:10" ht="45.75" customHeight="1">
      <c r="A9" s="11">
        <v>1</v>
      </c>
      <c r="B9" s="56" t="s">
        <v>16</v>
      </c>
      <c r="C9" s="57"/>
      <c r="D9" s="12">
        <f>D10+D20</f>
        <v>1284425.2944</v>
      </c>
      <c r="E9" s="12">
        <f>E10+E20</f>
        <v>107035.4412</v>
      </c>
      <c r="F9" s="12">
        <f>F10+F20</f>
        <v>14.704084348769799</v>
      </c>
      <c r="H9" s="1">
        <f>7000*1.15</f>
        <v>8049.9999999999991</v>
      </c>
      <c r="I9" s="1">
        <f>7910*13%</f>
        <v>1028.3</v>
      </c>
    </row>
    <row r="10" spans="1:10" ht="26.25" customHeight="1">
      <c r="A10" s="13" t="s">
        <v>17</v>
      </c>
      <c r="B10" s="56" t="s">
        <v>18</v>
      </c>
      <c r="C10" s="57"/>
      <c r="D10" s="12">
        <f>SUM(D11:D19)</f>
        <v>758557.8</v>
      </c>
      <c r="E10" s="12">
        <f>SUM(E11:E19)</f>
        <v>63213.15</v>
      </c>
      <c r="F10" s="12">
        <f>SUM(F11:F19)</f>
        <v>8.6839599961534759</v>
      </c>
    </row>
    <row r="11" spans="1:10" ht="30.75" customHeight="1">
      <c r="A11" s="14" t="s">
        <v>19</v>
      </c>
      <c r="B11" s="6" t="s">
        <v>20</v>
      </c>
      <c r="C11" s="3" t="s">
        <v>21</v>
      </c>
      <c r="D11" s="5">
        <v>12000</v>
      </c>
      <c r="E11" s="12">
        <f t="shared" ref="E11:E19" si="0">D11/12</f>
        <v>1000</v>
      </c>
      <c r="F11" s="5">
        <f>E11/$A$1</f>
        <v>0.13737584657865454</v>
      </c>
      <c r="G11" s="1">
        <f>7179/1.13*1.1</f>
        <v>6988.4070796460182</v>
      </c>
      <c r="H11" s="1">
        <f>6242*1.15</f>
        <v>7178.2999999999993</v>
      </c>
      <c r="I11" s="1">
        <f>7000*0.13</f>
        <v>910</v>
      </c>
      <c r="J11" s="1">
        <f>G11+I11</f>
        <v>7898.4070796460182</v>
      </c>
    </row>
    <row r="12" spans="1:10" ht="15.75" customHeight="1">
      <c r="A12" s="14" t="s">
        <v>22</v>
      </c>
      <c r="B12" s="3" t="s">
        <v>23</v>
      </c>
      <c r="C12" s="3"/>
      <c r="D12" s="5">
        <f>(D11+D13+D17)*35.2%</f>
        <v>35904</v>
      </c>
      <c r="E12" s="12">
        <f t="shared" si="0"/>
        <v>2992</v>
      </c>
      <c r="F12" s="5">
        <f t="shared" ref="F12:F18" si="1">E12/$A$1</f>
        <v>0.41102853296333436</v>
      </c>
    </row>
    <row r="13" spans="1:10" ht="15.75" customHeight="1">
      <c r="A13" s="14" t="s">
        <v>24</v>
      </c>
      <c r="B13" s="3" t="s">
        <v>25</v>
      </c>
      <c r="C13" s="3"/>
      <c r="D13" s="5">
        <f>4000*12</f>
        <v>48000</v>
      </c>
      <c r="E13" s="12">
        <f t="shared" si="0"/>
        <v>4000</v>
      </c>
      <c r="F13" s="5">
        <f t="shared" si="1"/>
        <v>0.54950338631461815</v>
      </c>
    </row>
    <row r="14" spans="1:10">
      <c r="A14" s="14" t="s">
        <v>26</v>
      </c>
      <c r="B14" s="3" t="s">
        <v>27</v>
      </c>
      <c r="C14" s="3" t="s">
        <v>28</v>
      </c>
      <c r="D14" s="5">
        <v>2850</v>
      </c>
      <c r="E14" s="12">
        <f t="shared" si="0"/>
        <v>237.5</v>
      </c>
      <c r="F14" s="5">
        <f t="shared" si="1"/>
        <v>3.2626763562430453E-2</v>
      </c>
    </row>
    <row r="15" spans="1:10">
      <c r="A15" s="14" t="s">
        <v>29</v>
      </c>
      <c r="B15" s="3" t="s">
        <v>30</v>
      </c>
      <c r="C15" s="3" t="s">
        <v>28</v>
      </c>
      <c r="D15" s="5">
        <v>2000</v>
      </c>
      <c r="E15" s="12">
        <f t="shared" si="0"/>
        <v>166.66666666666666</v>
      </c>
      <c r="F15" s="5">
        <f t="shared" si="1"/>
        <v>2.2895974429775756E-2</v>
      </c>
    </row>
    <row r="16" spans="1:10" ht="33" customHeight="1">
      <c r="A16" s="14" t="s">
        <v>31</v>
      </c>
      <c r="B16" s="6" t="s">
        <v>32</v>
      </c>
      <c r="C16" s="6" t="s">
        <v>33</v>
      </c>
      <c r="D16" s="5">
        <f>9551*1.15*12</f>
        <v>131803.79999999999</v>
      </c>
      <c r="E16" s="12">
        <f t="shared" si="0"/>
        <v>10983.65</v>
      </c>
      <c r="F16" s="5">
        <f t="shared" si="1"/>
        <v>1.5088882172736389</v>
      </c>
    </row>
    <row r="17" spans="1:8" ht="45">
      <c r="A17" s="14" t="s">
        <v>34</v>
      </c>
      <c r="B17" s="6" t="s">
        <v>35</v>
      </c>
      <c r="C17" s="6" t="s">
        <v>36</v>
      </c>
      <c r="D17" s="5">
        <f>3500*12</f>
        <v>42000</v>
      </c>
      <c r="E17" s="12">
        <f t="shared" si="0"/>
        <v>3500</v>
      </c>
      <c r="F17" s="5">
        <f t="shared" si="1"/>
        <v>0.48081546302529088</v>
      </c>
    </row>
    <row r="18" spans="1:8" ht="45">
      <c r="A18" s="14" t="s">
        <v>37</v>
      </c>
      <c r="B18" s="6" t="s">
        <v>38</v>
      </c>
      <c r="C18" s="6" t="s">
        <v>21</v>
      </c>
      <c r="D18" s="5">
        <f>2000000/5</f>
        <v>400000</v>
      </c>
      <c r="E18" s="12">
        <f t="shared" si="0"/>
        <v>33333.333333333336</v>
      </c>
      <c r="F18" s="5">
        <f t="shared" si="1"/>
        <v>4.5791948859551512</v>
      </c>
    </row>
    <row r="19" spans="1:8" ht="45">
      <c r="A19" s="14" t="s">
        <v>39</v>
      </c>
      <c r="B19" s="6" t="s">
        <v>40</v>
      </c>
      <c r="C19" s="6" t="s">
        <v>41</v>
      </c>
      <c r="D19" s="5">
        <f>7000*12</f>
        <v>84000</v>
      </c>
      <c r="E19" s="12">
        <f t="shared" si="0"/>
        <v>7000</v>
      </c>
      <c r="F19" s="5">
        <f>E19/$A$1</f>
        <v>0.96163092605058176</v>
      </c>
    </row>
    <row r="20" spans="1:8" ht="15.75">
      <c r="A20" s="13" t="s">
        <v>42</v>
      </c>
      <c r="B20" s="56" t="s">
        <v>43</v>
      </c>
      <c r="C20" s="57"/>
      <c r="D20" s="4">
        <f>SUM(SUM(D21:D27))</f>
        <v>525867.49439999997</v>
      </c>
      <c r="E20" s="4">
        <f>SUM(SUM(E21:E27))</f>
        <v>43822.2912</v>
      </c>
      <c r="F20" s="4">
        <f>SUM(SUM(F21:F27))</f>
        <v>6.0201243526163228</v>
      </c>
    </row>
    <row r="21" spans="1:8" ht="45">
      <c r="A21" s="14" t="s">
        <v>44</v>
      </c>
      <c r="B21" s="3" t="s">
        <v>45</v>
      </c>
      <c r="C21" s="6" t="s">
        <v>21</v>
      </c>
      <c r="D21" s="5">
        <f>7000*12</f>
        <v>84000</v>
      </c>
      <c r="E21" s="12">
        <f>D21/12</f>
        <v>7000</v>
      </c>
      <c r="F21" s="5">
        <f>E21/$A$1</f>
        <v>0.96163092605058176</v>
      </c>
    </row>
    <row r="22" spans="1:8" ht="45">
      <c r="A22" s="14" t="s">
        <v>46</v>
      </c>
      <c r="B22" s="6" t="s">
        <v>47</v>
      </c>
      <c r="C22" s="6" t="s">
        <v>21</v>
      </c>
      <c r="D22" s="5">
        <f>6630*12</f>
        <v>79560</v>
      </c>
      <c r="E22" s="12">
        <f t="shared" ref="E22:E27" si="2">D22/12</f>
        <v>6630</v>
      </c>
      <c r="F22" s="5">
        <f t="shared" ref="F22:F27" si="3">E22/$A$1</f>
        <v>0.91080186281647957</v>
      </c>
      <c r="G22" s="1">
        <f>6811/1.13*1.1</f>
        <v>6630.1769911504434</v>
      </c>
      <c r="H22" s="1">
        <f>G22*0.13</f>
        <v>861.92300884955762</v>
      </c>
    </row>
    <row r="23" spans="1:8" ht="45">
      <c r="A23" s="14" t="s">
        <v>48</v>
      </c>
      <c r="B23" s="3" t="s">
        <v>49</v>
      </c>
      <c r="C23" s="15" t="s">
        <v>21</v>
      </c>
      <c r="D23" s="5">
        <f>6000*12</f>
        <v>72000</v>
      </c>
      <c r="E23" s="12">
        <f t="shared" si="2"/>
        <v>6000</v>
      </c>
      <c r="F23" s="5">
        <f t="shared" si="3"/>
        <v>0.82425507947192722</v>
      </c>
      <c r="G23" s="1">
        <f>6077/1.13*1.1</f>
        <v>5915.6637168141606</v>
      </c>
      <c r="H23" s="1">
        <f>G23*0.13</f>
        <v>769.03628318584094</v>
      </c>
    </row>
    <row r="24" spans="1:8" ht="45">
      <c r="A24" s="14" t="s">
        <v>50</v>
      </c>
      <c r="B24" s="6" t="s">
        <v>51</v>
      </c>
      <c r="C24" s="6" t="s">
        <v>21</v>
      </c>
      <c r="D24" s="5">
        <f>7758*12</f>
        <v>93096</v>
      </c>
      <c r="E24" s="12">
        <f t="shared" si="2"/>
        <v>7758</v>
      </c>
      <c r="F24" s="5">
        <f t="shared" si="3"/>
        <v>1.0657618177572019</v>
      </c>
      <c r="G24" s="1">
        <f>7970/1.13*1.1</f>
        <v>7758.4070796460182</v>
      </c>
      <c r="H24" s="1">
        <f>G24*0.13</f>
        <v>1008.5929203539824</v>
      </c>
    </row>
    <row r="25" spans="1:8" ht="45">
      <c r="A25" s="14" t="s">
        <v>52</v>
      </c>
      <c r="B25" s="6" t="s">
        <v>53</v>
      </c>
      <c r="C25" s="6" t="s">
        <v>21</v>
      </c>
      <c r="D25" s="5">
        <f>3000*12</f>
        <v>36000</v>
      </c>
      <c r="E25" s="12">
        <f t="shared" si="2"/>
        <v>3000</v>
      </c>
      <c r="F25" s="5">
        <f t="shared" si="3"/>
        <v>0.41212753973596361</v>
      </c>
      <c r="G25" s="1">
        <f>3033/1.13*1.1</f>
        <v>2952.4778761061953</v>
      </c>
    </row>
    <row r="26" spans="1:8" ht="45">
      <c r="A26" s="14" t="s">
        <v>54</v>
      </c>
      <c r="B26" s="3" t="s">
        <v>23</v>
      </c>
      <c r="C26" s="6" t="s">
        <v>21</v>
      </c>
      <c r="D26" s="5">
        <f>(D22+D21+D23+D24+D25)*35.2%</f>
        <v>128358.91200000001</v>
      </c>
      <c r="E26" s="12">
        <f t="shared" si="2"/>
        <v>10696.576000000001</v>
      </c>
      <c r="F26" s="5">
        <f t="shared" si="3"/>
        <v>1.4694511834929183</v>
      </c>
    </row>
    <row r="27" spans="1:8" ht="75">
      <c r="A27" s="14" t="s">
        <v>55</v>
      </c>
      <c r="B27" s="6" t="s">
        <v>56</v>
      </c>
      <c r="C27" s="6" t="s">
        <v>21</v>
      </c>
      <c r="D27" s="5">
        <f>(D26+D12)*0.2</f>
        <v>32852.582400000007</v>
      </c>
      <c r="E27" s="12">
        <f t="shared" si="2"/>
        <v>2737.7152000000006</v>
      </c>
      <c r="F27" s="5">
        <f t="shared" si="3"/>
        <v>0.37609594329125062</v>
      </c>
    </row>
    <row r="28" spans="1:8" ht="15.75">
      <c r="A28" s="13" t="s">
        <v>57</v>
      </c>
      <c r="B28" s="58" t="s">
        <v>58</v>
      </c>
      <c r="C28" s="59"/>
      <c r="D28" s="4">
        <f>D29+D30</f>
        <v>19200</v>
      </c>
      <c r="E28" s="4">
        <f>E29+E30</f>
        <v>1600</v>
      </c>
      <c r="F28" s="4">
        <f>F29+F30</f>
        <v>0.21980135452584726</v>
      </c>
    </row>
    <row r="29" spans="1:8">
      <c r="A29" s="14" t="s">
        <v>59</v>
      </c>
      <c r="B29" s="6" t="s">
        <v>4</v>
      </c>
      <c r="C29" s="6"/>
      <c r="D29" s="5">
        <f>300*12</f>
        <v>3600</v>
      </c>
      <c r="E29" s="12">
        <f>D29/12</f>
        <v>300</v>
      </c>
      <c r="F29" s="5">
        <f>E29/$A$1</f>
        <v>4.1212753973596361E-2</v>
      </c>
    </row>
    <row r="30" spans="1:8" ht="30">
      <c r="A30" s="14" t="s">
        <v>60</v>
      </c>
      <c r="B30" s="6" t="s">
        <v>61</v>
      </c>
      <c r="C30" s="6"/>
      <c r="D30" s="5">
        <f>1300*12</f>
        <v>15600</v>
      </c>
      <c r="E30" s="12">
        <f>D30/12</f>
        <v>1300</v>
      </c>
      <c r="F30" s="5">
        <f>E30/$A$1</f>
        <v>0.1785886005522509</v>
      </c>
    </row>
    <row r="31" spans="1:8" ht="15.75">
      <c r="A31" s="13" t="s">
        <v>62</v>
      </c>
      <c r="B31" s="58" t="s">
        <v>63</v>
      </c>
      <c r="C31" s="59"/>
      <c r="D31" s="4">
        <f>D32</f>
        <v>27000</v>
      </c>
      <c r="E31" s="4">
        <f>E32</f>
        <v>2250</v>
      </c>
      <c r="F31" s="4">
        <f>F32</f>
        <v>0.30909565480197271</v>
      </c>
    </row>
    <row r="32" spans="1:8" ht="30">
      <c r="A32" s="14" t="s">
        <v>64</v>
      </c>
      <c r="B32" s="16" t="s">
        <v>65</v>
      </c>
      <c r="C32" s="17" t="s">
        <v>66</v>
      </c>
      <c r="D32" s="5">
        <f>9*3000</f>
        <v>27000</v>
      </c>
      <c r="E32" s="12">
        <f>D32/12</f>
        <v>2250</v>
      </c>
      <c r="F32" s="5">
        <f>E32/$A$1</f>
        <v>0.30909565480197271</v>
      </c>
    </row>
    <row r="33" spans="1:7">
      <c r="A33" s="60" t="s">
        <v>67</v>
      </c>
      <c r="B33" s="60"/>
      <c r="C33" s="18"/>
      <c r="D33" s="19">
        <f>D9+D28+D31</f>
        <v>1330625.2944</v>
      </c>
      <c r="E33" s="19">
        <f>D33/12</f>
        <v>110885.4412</v>
      </c>
      <c r="F33" s="19">
        <f>E33/A1</f>
        <v>15.23298135809762</v>
      </c>
      <c r="G33" s="20"/>
    </row>
    <row r="39" spans="1:7">
      <c r="B39" s="1" t="s">
        <v>68</v>
      </c>
    </row>
    <row r="41" spans="1:7">
      <c r="B41" s="1" t="s">
        <v>69</v>
      </c>
      <c r="C41" s="1" t="s">
        <v>70</v>
      </c>
      <c r="D41" s="1" t="s">
        <v>71</v>
      </c>
      <c r="E41" s="1" t="s">
        <v>72</v>
      </c>
    </row>
    <row r="42" spans="1:7">
      <c r="B42" s="7" t="s">
        <v>77</v>
      </c>
      <c r="C42" s="1">
        <v>5035</v>
      </c>
      <c r="D42" s="1">
        <v>753</v>
      </c>
      <c r="E42" s="1">
        <v>1157.5999999999999</v>
      </c>
    </row>
    <row r="43" spans="1:7">
      <c r="B43" s="1" t="s">
        <v>73</v>
      </c>
      <c r="C43" s="1">
        <v>1475</v>
      </c>
      <c r="D43" s="1">
        <v>221</v>
      </c>
      <c r="E43" s="1">
        <v>339.2</v>
      </c>
    </row>
    <row r="44" spans="1:7">
      <c r="B44" s="1" t="s">
        <v>75</v>
      </c>
      <c r="C44" s="1">
        <v>6774</v>
      </c>
      <c r="D44" s="1">
        <v>1013</v>
      </c>
      <c r="E44" s="1">
        <v>1557.4</v>
      </c>
    </row>
    <row r="45" spans="1:7">
      <c r="B45" s="1" t="s">
        <v>74</v>
      </c>
      <c r="C45" s="1">
        <v>2513</v>
      </c>
      <c r="D45" s="1">
        <v>376</v>
      </c>
      <c r="E45" s="1">
        <v>577.79999999999995</v>
      </c>
    </row>
    <row r="46" spans="1:7">
      <c r="B46" s="1" t="s">
        <v>76</v>
      </c>
      <c r="C46" s="1">
        <v>5948</v>
      </c>
      <c r="D46" s="1">
        <v>889</v>
      </c>
      <c r="E46" s="1">
        <v>1367.4</v>
      </c>
    </row>
  </sheetData>
  <mergeCells count="10">
    <mergeCell ref="B20:C20"/>
    <mergeCell ref="B28:C28"/>
    <mergeCell ref="B31:C31"/>
    <mergeCell ref="A33:B33"/>
    <mergeCell ref="D1:F1"/>
    <mergeCell ref="A4:F4"/>
    <mergeCell ref="A5:F5"/>
    <mergeCell ref="A6:F6"/>
    <mergeCell ref="B9:C9"/>
    <mergeCell ref="B10:C10"/>
  </mergeCells>
  <pageMargins left="0.75" right="0.75" top="1" bottom="1" header="0.5" footer="0.5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1" sqref="C11"/>
    </sheetView>
  </sheetViews>
  <sheetFormatPr defaultRowHeight="12.75"/>
  <sheetData>
    <row r="1" spans="1:3">
      <c r="A1" t="s">
        <v>106</v>
      </c>
      <c r="B1">
        <v>261.22000000000003</v>
      </c>
    </row>
    <row r="2" spans="1:3">
      <c r="A2" t="s">
        <v>107</v>
      </c>
      <c r="B2">
        <v>287.58999999999997</v>
      </c>
    </row>
    <row r="3" spans="1:3">
      <c r="A3" t="s">
        <v>108</v>
      </c>
      <c r="B3">
        <v>189.93700000000001</v>
      </c>
    </row>
    <row r="4" spans="1:3">
      <c r="A4" t="s">
        <v>109</v>
      </c>
      <c r="B4">
        <v>160.33500000000001</v>
      </c>
    </row>
    <row r="5" spans="1:3">
      <c r="A5" t="s">
        <v>110</v>
      </c>
      <c r="B5">
        <v>67.161000000000001</v>
      </c>
    </row>
    <row r="6" spans="1:3">
      <c r="B6">
        <v>10.5</v>
      </c>
    </row>
    <row r="7" spans="1:3">
      <c r="B7">
        <v>107.07</v>
      </c>
    </row>
    <row r="8" spans="1:3">
      <c r="B8">
        <v>154.721</v>
      </c>
    </row>
    <row r="9" spans="1:3">
      <c r="B9">
        <v>205.637</v>
      </c>
    </row>
    <row r="10" spans="1:3">
      <c r="B10">
        <f>SUM(B1:B9)</f>
        <v>1444.1709999999998</v>
      </c>
      <c r="C10">
        <f>B10/12</f>
        <v>120.34758333333332</v>
      </c>
    </row>
    <row r="11" spans="1:3">
      <c r="B11">
        <v>7297.9</v>
      </c>
    </row>
    <row r="13" spans="1:3">
      <c r="B13">
        <f>C10/B11</f>
        <v>1.6490714223726458E-2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Отчет о смете_2017</vt:lpstr>
      <vt:lpstr>смета 2017 _2вариант</vt:lpstr>
      <vt:lpstr>смета 2017</vt:lpstr>
      <vt:lpstr>Расчет нормативаТЭ  на 2018г.</vt:lpstr>
      <vt:lpstr>'смета 2017'!Область_печати</vt:lpstr>
      <vt:lpstr>'смета 2017 _2вариант'!Область_печати</vt:lpstr>
    </vt:vector>
  </TitlesOfParts>
  <Company>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ельцова</dc:creator>
  <cp:lastModifiedBy>Грахов</cp:lastModifiedBy>
  <cp:lastPrinted>2018-03-24T09:15:54Z</cp:lastPrinted>
  <dcterms:created xsi:type="dcterms:W3CDTF">2014-02-19T18:20:54Z</dcterms:created>
  <dcterms:modified xsi:type="dcterms:W3CDTF">2018-04-11T08:00:14Z</dcterms:modified>
</cp:coreProperties>
</file>