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Лист4" sheetId="1" r:id="rId1"/>
    <sheet name="Лист5" sheetId="2" r:id="rId2"/>
    <sheet name="Лист1" sheetId="3" r:id="rId3"/>
    <sheet name="Лист6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<sst xmlns="http://schemas.openxmlformats.org/spreadsheetml/2006/main" count="319" uniqueCount="73">
  <si>
    <t>Показатели</t>
  </si>
  <si>
    <t>Плановая калькуляция оказания платной дополнительной услуги</t>
  </si>
  <si>
    <t>Количество групп</t>
  </si>
  <si>
    <t>№ п/п</t>
  </si>
  <si>
    <t>Сумма в месяц</t>
  </si>
  <si>
    <t>Сумма на год</t>
  </si>
  <si>
    <t>Себестоимость оказания единицы услуги, в т.ч.: (СБ=ПЗ+КЗ)</t>
  </si>
  <si>
    <t>Прямые затраты (ПЗ) в разрезе статей затрат, в т.ч. (ПЗ=ОЗП+ДЗП+НЗП+РМ+КИ+АО)</t>
  </si>
  <si>
    <t>Начисления на оплату труда (НЗП) - 30,2%</t>
  </si>
  <si>
    <t>Расходные материалы (РМ)</t>
  </si>
  <si>
    <t>Комплектующие изделия (КИ)</t>
  </si>
  <si>
    <t>Амортизация основных средств (оборудования) (АО)</t>
  </si>
  <si>
    <t>Накладные расходы (НР) в разрезе статей затрат, в т.ч. (НР=КП+ТР+ГСМ+РСЭО+ОБХР+ПР)</t>
  </si>
  <si>
    <t>Коммунальные платежи (КП), плата за электроэнергию</t>
  </si>
  <si>
    <t>Транспортные расходы (ТР)</t>
  </si>
  <si>
    <t>Горюче-смазочные материалы (ГСМ)</t>
  </si>
  <si>
    <t>Расходы на содержание и эксплуатацию оборудования (РСЭО)</t>
  </si>
  <si>
    <t>Общехозяйственные расходы (ОБХР), всего: (ОБХР= ОЗП+ДЗП+АО+УС+ др.)</t>
  </si>
  <si>
    <t>Основная и дополнительная заработная плата с отчислениями во внебюджетные фонды административно-управленческого персонала</t>
  </si>
  <si>
    <t>Амортизация зданий, складов, инвентаря (за исключением относящихся к прямым затратам)</t>
  </si>
  <si>
    <t>Услуги связи и другие платежи (УС)</t>
  </si>
  <si>
    <t>Прочие расходы (ПР)</t>
  </si>
  <si>
    <t>Планируемая прибыль (ПП) ПП=(СБ/100) х Р, где ПП- планируемая прибыль; СБ- себестоимость услуги; Р - рентабельность, %</t>
  </si>
  <si>
    <t>Цена услуги (ЦУ) плата за услугу одним обучающимся</t>
  </si>
  <si>
    <t xml:space="preserve"> за час (ЦУ = ЦУ / УЧ.пл.-час)</t>
  </si>
  <si>
    <t>за месяц (ЦУ = ОСУ / Ч. -чел )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</si>
  <si>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</si>
  <si>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</si>
  <si>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</si>
  <si>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</si>
  <si>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</si>
  <si>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</si>
  <si>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</si>
  <si>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</si>
  <si>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</si>
  <si>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</si>
  <si>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</si>
  <si>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3.5.1.</t>
  </si>
  <si>
    <t>3.5.2.</t>
  </si>
  <si>
    <t>3.5.3.</t>
  </si>
  <si>
    <t>3.6.</t>
  </si>
  <si>
    <t>4.</t>
  </si>
  <si>
    <t>5.</t>
  </si>
  <si>
    <t>6.1.</t>
  </si>
  <si>
    <t>6.2.</t>
  </si>
  <si>
    <t>Общая стоимость услуги, всего ОСУ= СБ+ПП</t>
  </si>
  <si>
    <t>МБУ ДО "Детская школа искусств № 3"</t>
  </si>
  <si>
    <t>Основная заработная плата (ОЗП)</t>
  </si>
  <si>
    <t xml:space="preserve">Дополнительная заработная плата (отпуск)  </t>
  </si>
  <si>
    <t>общеразвивающие группы 10-11 лет (подготов.)</t>
  </si>
  <si>
    <t xml:space="preserve">Дополнительная заработная плата (отпуск) </t>
  </si>
  <si>
    <t>Общеразвивающие группы от 15-60 лет</t>
  </si>
  <si>
    <t>Общеразвивающие классы от 11-15 лет (внебюджет)</t>
  </si>
  <si>
    <t>Общеразвивающие классы от 11-15 лет бюджет</t>
  </si>
  <si>
    <t>Общеразвивающие группы от 3 до 9 лет</t>
  </si>
  <si>
    <t xml:space="preserve">Руководитель платной услуги - </t>
  </si>
  <si>
    <t xml:space="preserve">Количество часов по учебному плану - 32ч в мес; </t>
  </si>
  <si>
    <t>Количество часов по учебному плану -  48 часов в месяц</t>
  </si>
  <si>
    <t>Количество часов по учебному плану -   88 час в месяц</t>
  </si>
  <si>
    <t>Период предоставления дополнительной услуги - 01.09.2019-30.05.2020</t>
  </si>
  <si>
    <t>Численность детей , человек - 50</t>
  </si>
  <si>
    <t>Период предоставления дополнительной услуги - 01.09.2019-31.05.2020</t>
  </si>
  <si>
    <t xml:space="preserve">Количество часов по учебному плану -  200 час в месяц </t>
  </si>
  <si>
    <t>Численность детей, человек - 240</t>
  </si>
  <si>
    <t>Руководитель платной услуги</t>
  </si>
  <si>
    <t>Общеразвивающие классы от 11-15 лет внебюджет</t>
  </si>
  <si>
    <t>Количество часов по учебному плану -   104 час в месяц</t>
  </si>
  <si>
    <t xml:space="preserve">Численность детей в группе, человек- 16 </t>
  </si>
  <si>
    <t xml:space="preserve">Руководитель платной услуги </t>
  </si>
  <si>
    <t>Численность детей в группе, человек  -300</t>
  </si>
  <si>
    <t>Количество часов по учебному плану - 120 час</t>
  </si>
  <si>
    <t>Численность детей , человек -35</t>
  </si>
  <si>
    <t>Численность детей, человек - 20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</si>
</sst>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00"/>
    <numFmt numFmtId="192" formatCode="0.000000"/>
    <numFmt numFmtId="193" formatCode="0.00000"/>
    <numFmt numFmtId="194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190" fontId="0" fillId="0" borderId="0" xfId="0" applyNumberForma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90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62" sqref="A62"/>
    </sheetView>
  </sheetViews>
  <sheetFormatPr defaultColWidth="9.140625" defaultRowHeight="12.75"/>
  <cols>
    <col min="1" max="1" width="7.57421875" style="0" customWidth="1"/>
    <col min="2" max="2" width="45.00390625" style="0" customWidth="1"/>
    <col min="3" max="3" width="20.421875" style="0" customWidth="1"/>
    <col min="4" max="4" width="17.00390625" style="0" customWidth="1"/>
    <col min="5" max="5" width="12.8515625" style="0" customWidth="1"/>
    <col min="6" max="6" width="13.421875" style="0" customWidth="1"/>
    <col min="7" max="7" width="13.28125" style="0" customWidth="1"/>
    <col min="8" max="8" width="12.421875" style="0" customWidth="1"/>
    <col min="9" max="9" width="11.57421875" style="0" customWidth="1"/>
    <col min="10" max="10" width="11.421875" style="0" customWidth="1"/>
  </cols>
  <sheetData>
    <row r="1" spans="1:7" ht="12.75">
      <c r="A1" s="1"/>
      <c r="B1" s="1" t="s">
        <v>1</v>
      </c>
      <c r="C1" s="1"/>
      <c r="D1" s="1"/>
      <c r="E1" s="1"/>
      <c r="F1" s="1"/>
      <c r="G1" s="1"/>
    </row>
    <row r="2" spans="1:7" ht="12.75">
      <c r="A2" s="26"/>
      <c r="B2" s="26"/>
      <c r="C2" s="26"/>
      <c r="D2" s="26"/>
      <c r="E2" s="26"/>
      <c r="F2" s="26"/>
      <c r="G2" s="1"/>
    </row>
    <row r="3" spans="1:7" ht="12.75">
      <c r="A3" s="23"/>
      <c r="B3" s="23" t="s">
        <v>54</v>
      </c>
      <c r="C3" s="23"/>
      <c r="D3" s="23"/>
      <c r="E3" s="23"/>
      <c r="F3" s="23"/>
      <c r="G3" s="23"/>
    </row>
    <row r="4" spans="1:7" ht="12.75">
      <c r="A4" s="1"/>
      <c r="B4" s="26" t="s">
        <v>46</v>
      </c>
      <c r="C4" s="26"/>
      <c r="D4" s="26"/>
      <c r="E4" s="26"/>
      <c r="F4" s="1"/>
      <c r="G4" s="1"/>
    </row>
    <row r="5" spans="1:7" ht="20.25" customHeight="1">
      <c r="A5" s="69" t="s">
        <v>59</v>
      </c>
      <c r="B5" s="69"/>
      <c r="C5" s="69"/>
      <c r="D5" s="69"/>
      <c r="E5" s="62"/>
      <c r="F5" s="16"/>
      <c r="G5" s="1"/>
    </row>
    <row r="6" spans="1:7" ht="12.75">
      <c r="A6" s="29" t="s">
        <v>70</v>
      </c>
      <c r="B6" s="29"/>
      <c r="C6" s="29"/>
      <c r="D6" s="29"/>
      <c r="E6" s="29"/>
      <c r="F6" s="7"/>
      <c r="G6" s="1"/>
    </row>
    <row r="7" spans="1:7" ht="17.25" customHeight="1">
      <c r="A7" s="69" t="s">
        <v>69</v>
      </c>
      <c r="B7" s="69"/>
      <c r="C7" s="6"/>
      <c r="D7" s="6"/>
      <c r="E7" s="6"/>
      <c r="F7" s="24"/>
      <c r="G7" s="1"/>
    </row>
    <row r="8" spans="1:7" ht="27" customHeight="1">
      <c r="A8" s="70" t="s">
        <v>55</v>
      </c>
      <c r="B8" s="70"/>
      <c r="C8" s="30"/>
      <c r="D8" s="53"/>
      <c r="E8" s="53"/>
      <c r="F8" s="35"/>
      <c r="G8" s="1"/>
    </row>
    <row r="9" spans="1:7" ht="12.75">
      <c r="A9" s="70" t="s">
        <v>2</v>
      </c>
      <c r="B9" s="70"/>
      <c r="C9" s="60"/>
      <c r="D9" s="30"/>
      <c r="E9" s="30"/>
      <c r="F9" s="31"/>
      <c r="G9" s="1"/>
    </row>
    <row r="10" spans="1:7" ht="12.75">
      <c r="A10" s="11"/>
      <c r="B10" s="6"/>
      <c r="C10" s="6"/>
      <c r="D10" s="6"/>
      <c r="E10" s="6"/>
      <c r="F10" s="10"/>
      <c r="G10" s="1"/>
    </row>
    <row r="11" spans="1:7" ht="12.75">
      <c r="A11" s="2" t="s">
        <v>3</v>
      </c>
      <c r="B11" s="2" t="s">
        <v>0</v>
      </c>
      <c r="C11" s="2" t="s">
        <v>4</v>
      </c>
      <c r="D11" s="2" t="s">
        <v>5</v>
      </c>
      <c r="E11" s="18"/>
      <c r="F11" s="1"/>
      <c r="G11" s="1"/>
    </row>
    <row r="12" spans="1:7" ht="12.75">
      <c r="A12" s="45">
        <v>1</v>
      </c>
      <c r="B12" s="45">
        <v>2</v>
      </c>
      <c r="C12" s="45">
        <v>3</v>
      </c>
      <c r="D12" s="46">
        <v>4</v>
      </c>
      <c r="E12" s="63"/>
      <c r="F12" s="26"/>
      <c r="G12" s="1"/>
    </row>
    <row r="13" spans="1:7" ht="27" customHeight="1">
      <c r="A13" s="2">
        <v>1</v>
      </c>
      <c r="B13" s="36" t="s">
        <v>6</v>
      </c>
      <c r="C13" s="48">
        <f>C14+C21</f>
        <v>269999.9968983333</v>
      </c>
      <c r="D13" s="48"/>
      <c r="E13" s="57"/>
      <c r="F13" s="23"/>
      <c r="G13" s="1"/>
    </row>
    <row r="14" spans="1:7" ht="25.5">
      <c r="A14" s="2">
        <v>2</v>
      </c>
      <c r="B14" s="36" t="s">
        <v>7</v>
      </c>
      <c r="C14" s="48">
        <f>SUM(C15:C20)</f>
        <v>107862.22939499999</v>
      </c>
      <c r="D14" s="48"/>
      <c r="E14" s="57"/>
      <c r="F14" s="1"/>
      <c r="G14" s="1"/>
    </row>
    <row r="15" spans="1:7" ht="12.75">
      <c r="A15" s="39" t="s">
        <v>26</v>
      </c>
      <c r="B15" s="22" t="s">
        <v>47</v>
      </c>
      <c r="C15" s="47">
        <v>62100</v>
      </c>
      <c r="D15" s="47"/>
      <c r="E15" s="59"/>
      <c r="F15" s="6"/>
      <c r="G15" s="6"/>
    </row>
    <row r="16" spans="1:7" ht="15.75" customHeight="1">
      <c r="A16" s="40" t="s">
        <v>27</v>
      </c>
      <c r="B16" s="22" t="s">
        <v>48</v>
      </c>
      <c r="C16" s="48">
        <v>13500</v>
      </c>
      <c r="D16" s="2"/>
      <c r="E16" s="18"/>
      <c r="F16" s="7"/>
      <c r="G16" s="7"/>
    </row>
    <row r="17" spans="1:10" ht="12.75">
      <c r="A17" s="39" t="s">
        <v>28</v>
      </c>
      <c r="B17" s="36" t="s">
        <v>8</v>
      </c>
      <c r="C17" s="48">
        <f>(C15+C16)*30.2/100</f>
        <v>22831.2</v>
      </c>
      <c r="D17" s="48"/>
      <c r="E17" s="57"/>
      <c r="F17" s="14"/>
      <c r="G17" s="51"/>
      <c r="J17" s="52"/>
    </row>
    <row r="18" spans="1:10" ht="12.75">
      <c r="A18" s="39" t="s">
        <v>29</v>
      </c>
      <c r="B18" s="36" t="s">
        <v>9</v>
      </c>
      <c r="C18" s="48">
        <f>163482.75/12*45.4/100</f>
        <v>6185.097374999999</v>
      </c>
      <c r="D18" s="48"/>
      <c r="E18" s="57"/>
      <c r="F18" s="14"/>
      <c r="G18" s="12"/>
      <c r="H18" s="4"/>
      <c r="J18" s="34"/>
    </row>
    <row r="19" spans="1:7" ht="12.75">
      <c r="A19" s="41" t="s">
        <v>30</v>
      </c>
      <c r="B19" s="38" t="s">
        <v>10</v>
      </c>
      <c r="C19" s="50"/>
      <c r="D19" s="50"/>
      <c r="E19" s="64"/>
      <c r="F19" s="32"/>
      <c r="G19" s="34"/>
    </row>
    <row r="20" spans="1:7" ht="27" customHeight="1">
      <c r="A20" s="42" t="s">
        <v>31</v>
      </c>
      <c r="B20" s="38" t="s">
        <v>11</v>
      </c>
      <c r="C20" s="54">
        <f>7149.63*45.4/100</f>
        <v>3245.9320199999997</v>
      </c>
      <c r="D20" s="54"/>
      <c r="E20" s="65"/>
      <c r="F20" s="33"/>
      <c r="G20" s="4"/>
    </row>
    <row r="21" spans="1:7" ht="27.75" customHeight="1">
      <c r="A21" s="43">
        <v>3</v>
      </c>
      <c r="B21" s="38" t="s">
        <v>12</v>
      </c>
      <c r="C21" s="50">
        <f>SUM(C22:C26)+C30</f>
        <v>162137.76750333334</v>
      </c>
      <c r="D21" s="50"/>
      <c r="E21" s="64"/>
      <c r="F21" s="33"/>
      <c r="G21" s="34"/>
    </row>
    <row r="22" spans="1:9" ht="25.5">
      <c r="A22" s="43" t="s">
        <v>32</v>
      </c>
      <c r="B22" s="38" t="s">
        <v>13</v>
      </c>
      <c r="C22" s="50">
        <f>(350000/12)*33.1/100</f>
        <v>9654.166666666668</v>
      </c>
      <c r="D22" s="50"/>
      <c r="E22" s="64"/>
      <c r="F22" s="32"/>
      <c r="G22" s="34"/>
      <c r="H22" s="5"/>
      <c r="I22" s="4"/>
    </row>
    <row r="23" spans="1:9" ht="12.75">
      <c r="A23" s="2" t="s">
        <v>33</v>
      </c>
      <c r="B23" s="36" t="s">
        <v>14</v>
      </c>
      <c r="C23" s="48"/>
      <c r="D23" s="48"/>
      <c r="E23" s="57"/>
      <c r="F23" s="1"/>
      <c r="G23" s="12"/>
      <c r="H23" s="5"/>
      <c r="I23" s="4"/>
    </row>
    <row r="24" spans="1:7" ht="12.75">
      <c r="A24" s="2" t="s">
        <v>34</v>
      </c>
      <c r="B24" s="36" t="s">
        <v>15</v>
      </c>
      <c r="C24" s="48"/>
      <c r="D24" s="48"/>
      <c r="E24" s="57"/>
      <c r="F24" s="26"/>
      <c r="G24" s="1"/>
    </row>
    <row r="25" spans="1:7" ht="25.5">
      <c r="A25" s="2" t="s">
        <v>35</v>
      </c>
      <c r="B25" s="36" t="s">
        <v>16</v>
      </c>
      <c r="C25" s="48">
        <f>(1122300/12)*33.1/100+21547.52</f>
        <v>52504.295</v>
      </c>
      <c r="D25" s="48"/>
      <c r="E25" s="57"/>
      <c r="F25" s="23"/>
      <c r="G25" s="12"/>
    </row>
    <row r="26" spans="1:7" ht="25.5">
      <c r="A26" s="44" t="s">
        <v>36</v>
      </c>
      <c r="B26" s="37" t="s">
        <v>17</v>
      </c>
      <c r="C26" s="47">
        <f>SUM(C27:C29)</f>
        <v>75607.07250333334</v>
      </c>
      <c r="D26" s="47"/>
      <c r="E26" s="59"/>
      <c r="F26" s="25"/>
      <c r="G26" s="1"/>
    </row>
    <row r="27" spans="1:7" ht="38.25">
      <c r="A27" s="2" t="s">
        <v>37</v>
      </c>
      <c r="B27" s="37" t="s">
        <v>18</v>
      </c>
      <c r="C27" s="48">
        <f>216648.57*33.1/100</f>
        <v>71710.67667</v>
      </c>
      <c r="D27" s="49"/>
      <c r="E27" s="66"/>
      <c r="F27" s="6"/>
      <c r="G27" s="12"/>
    </row>
    <row r="28" spans="1:7" ht="25.5">
      <c r="A28" s="40" t="s">
        <v>38</v>
      </c>
      <c r="B28" s="37" t="s">
        <v>19</v>
      </c>
      <c r="C28" s="50">
        <f>1987.5*33.1/100</f>
        <v>657.8625</v>
      </c>
      <c r="D28" s="49"/>
      <c r="E28" s="66"/>
      <c r="F28" s="9"/>
      <c r="G28" s="12"/>
    </row>
    <row r="29" spans="1:7" ht="12.75">
      <c r="A29" s="40" t="s">
        <v>39</v>
      </c>
      <c r="B29" s="37" t="s">
        <v>20</v>
      </c>
      <c r="C29" s="48">
        <f>(85600/12)*45.4/100</f>
        <v>3238.5333333333333</v>
      </c>
      <c r="D29" s="49"/>
      <c r="E29" s="66"/>
      <c r="F29" s="9"/>
      <c r="G29" s="12"/>
    </row>
    <row r="30" spans="1:7" ht="12.75">
      <c r="A30" s="40" t="s">
        <v>40</v>
      </c>
      <c r="B30" s="37" t="s">
        <v>21</v>
      </c>
      <c r="C30" s="48">
        <f>(644200/12)*45.4/100</f>
        <v>24372.233333333334</v>
      </c>
      <c r="D30" s="49"/>
      <c r="E30" s="66"/>
      <c r="F30" s="9"/>
      <c r="G30" s="12"/>
    </row>
    <row r="31" spans="1:7" ht="38.25">
      <c r="A31" s="40" t="s">
        <v>41</v>
      </c>
      <c r="B31" s="37" t="s">
        <v>22</v>
      </c>
      <c r="C31" s="48"/>
      <c r="D31" s="49"/>
      <c r="E31" s="66"/>
      <c r="F31" s="9"/>
      <c r="G31" s="1"/>
    </row>
    <row r="32" spans="1:7" ht="12.75">
      <c r="A32" s="40" t="s">
        <v>42</v>
      </c>
      <c r="B32" s="37" t="s">
        <v>45</v>
      </c>
      <c r="C32" s="48">
        <f>C13+C31</f>
        <v>269999.9968983333</v>
      </c>
      <c r="D32" s="48"/>
      <c r="E32" s="57"/>
      <c r="F32" s="9"/>
      <c r="G32" s="1"/>
    </row>
    <row r="33" spans="1:7" ht="25.5">
      <c r="A33" s="40">
        <v>6</v>
      </c>
      <c r="B33" s="37" t="s">
        <v>23</v>
      </c>
      <c r="C33" s="48"/>
      <c r="D33" s="49"/>
      <c r="E33" s="66"/>
      <c r="F33" s="9"/>
      <c r="G33" s="1"/>
    </row>
    <row r="34" spans="1:7" ht="12.75">
      <c r="A34" s="40" t="s">
        <v>43</v>
      </c>
      <c r="B34" s="37" t="s">
        <v>25</v>
      </c>
      <c r="C34" s="48">
        <f>C32/300</f>
        <v>899.999989661111</v>
      </c>
      <c r="D34" s="48"/>
      <c r="E34" s="57"/>
      <c r="F34" s="9"/>
      <c r="G34" s="1"/>
    </row>
    <row r="35" spans="1:5" ht="23.25" customHeight="1">
      <c r="A35" s="40" t="s">
        <v>44</v>
      </c>
      <c r="B35" s="37" t="s">
        <v>24</v>
      </c>
      <c r="C35" s="48">
        <f>C34/4</f>
        <v>224.99999741527776</v>
      </c>
      <c r="D35" s="48"/>
      <c r="E35" s="57"/>
    </row>
    <row r="36" spans="1:5" ht="12.75">
      <c r="A36" s="12"/>
      <c r="B36" s="7"/>
      <c r="C36" s="7"/>
      <c r="D36" s="8"/>
      <c r="E36" s="8"/>
    </row>
    <row r="37" spans="1:5" ht="12.75">
      <c r="A37" s="1"/>
      <c r="B37" s="7"/>
      <c r="C37" s="7"/>
      <c r="D37" s="8"/>
      <c r="E37" s="8"/>
    </row>
    <row r="38" spans="1:5" ht="12.75">
      <c r="A38" s="1"/>
      <c r="B38" s="7"/>
      <c r="C38" s="7"/>
      <c r="D38" s="1"/>
      <c r="E38" s="1"/>
    </row>
    <row r="39" spans="1:5" ht="12.75">
      <c r="A39" s="1"/>
      <c r="B39" s="1"/>
      <c r="C39" s="1"/>
      <c r="D39" s="1"/>
      <c r="E39" s="1"/>
    </row>
    <row r="40" spans="1:12" ht="12.75">
      <c r="A40" s="1"/>
      <c r="B40" s="55"/>
      <c r="C40" s="27"/>
      <c r="D40" s="27"/>
      <c r="E40" s="27"/>
      <c r="F40" s="58"/>
      <c r="G40" s="56"/>
      <c r="J40" s="5"/>
      <c r="K40" s="5"/>
      <c r="L40" s="5"/>
    </row>
    <row r="41" spans="1:7" ht="12.75">
      <c r="A41" s="6"/>
      <c r="B41" s="27"/>
      <c r="C41" s="27"/>
      <c r="D41" s="6"/>
      <c r="E41" s="6"/>
      <c r="F41" s="13"/>
      <c r="G41" s="1"/>
    </row>
    <row r="42" spans="1:7" ht="26.25" customHeight="1">
      <c r="A42" s="7"/>
      <c r="B42" s="13"/>
      <c r="C42" s="13"/>
      <c r="D42" s="14"/>
      <c r="E42" s="14"/>
      <c r="F42" s="14"/>
      <c r="G42" s="15"/>
    </row>
    <row r="43" spans="1:7" ht="15" customHeight="1">
      <c r="A43" s="7"/>
      <c r="B43" s="13"/>
      <c r="C43" s="13"/>
      <c r="D43" s="14"/>
      <c r="E43" s="14"/>
      <c r="F43" s="14"/>
      <c r="G43" s="1"/>
    </row>
    <row r="44" spans="1:7" ht="52.5" customHeight="1">
      <c r="A44" s="7"/>
      <c r="B44" s="13"/>
      <c r="C44" s="13"/>
      <c r="D44" s="17"/>
      <c r="E44" s="17"/>
      <c r="F44" s="14"/>
      <c r="G44" s="15"/>
    </row>
    <row r="45" spans="1:7" ht="27" customHeight="1">
      <c r="A45" s="7"/>
      <c r="B45" s="13"/>
      <c r="C45" s="13"/>
      <c r="D45" s="14"/>
      <c r="E45" s="14"/>
      <c r="F45" s="14"/>
      <c r="G45" s="1"/>
    </row>
    <row r="46" spans="1:8" ht="12.75">
      <c r="A46" s="7"/>
      <c r="B46" s="13"/>
      <c r="C46" s="13"/>
      <c r="D46" s="17"/>
      <c r="E46" s="17"/>
      <c r="F46" s="14"/>
      <c r="G46" s="15"/>
      <c r="H46" s="4"/>
    </row>
    <row r="47" spans="1:7" ht="27.75" customHeight="1">
      <c r="A47" s="18"/>
      <c r="B47" s="13"/>
      <c r="C47" s="13"/>
      <c r="D47" s="19"/>
      <c r="E47" s="19"/>
      <c r="F47" s="1"/>
      <c r="G47" s="1"/>
    </row>
    <row r="48" spans="1:7" ht="12.75">
      <c r="A48" s="20"/>
      <c r="B48" s="29"/>
      <c r="C48" s="29"/>
      <c r="D48" s="21"/>
      <c r="E48" s="21"/>
      <c r="F48" s="15"/>
      <c r="G48" s="1"/>
    </row>
    <row r="49" spans="1:7" ht="12.75">
      <c r="A49" s="1"/>
      <c r="B49" s="11"/>
      <c r="C49" s="1"/>
      <c r="D49" s="1"/>
      <c r="E49" s="1"/>
      <c r="F49" s="1"/>
      <c r="G49" s="1"/>
    </row>
    <row r="50" spans="1:7" ht="12.75">
      <c r="A50" s="12"/>
      <c r="B50" s="12"/>
      <c r="C50" s="1"/>
      <c r="D50" s="12"/>
      <c r="E50" s="12"/>
      <c r="F50" s="1"/>
      <c r="G50" s="1"/>
    </row>
    <row r="51" spans="1:7" ht="12.75">
      <c r="A51" s="12"/>
      <c r="B51" s="1"/>
      <c r="C51" s="1"/>
      <c r="D51" s="12"/>
      <c r="E51" s="12"/>
      <c r="F51" s="1"/>
      <c r="G51" s="1"/>
    </row>
    <row r="52" spans="1:5" ht="12.75">
      <c r="A52" s="4"/>
      <c r="D52" s="4"/>
      <c r="E52" s="4"/>
    </row>
    <row r="53" spans="1:5" ht="12.75">
      <c r="A53" s="4"/>
      <c r="D53" s="4"/>
      <c r="E53" s="4"/>
    </row>
    <row r="55" spans="1:5" ht="12.75">
      <c r="A55" s="4"/>
      <c r="D55" s="4"/>
      <c r="E55" s="4"/>
    </row>
    <row r="56" spans="1:5" ht="12.75">
      <c r="A56" s="4"/>
      <c r="D56" s="4"/>
      <c r="E56" s="4"/>
    </row>
    <row r="57" spans="1:5" ht="12.75">
      <c r="A57" s="4"/>
      <c r="D57" s="4"/>
      <c r="E57" s="4"/>
    </row>
    <row r="58" spans="1:5" ht="12.75">
      <c r="A58" s="4"/>
      <c r="D58" s="4"/>
      <c r="E58" s="4"/>
    </row>
    <row r="59" spans="1:5" ht="12.75">
      <c r="A59" s="4"/>
      <c r="D59" s="4"/>
      <c r="E59" s="4"/>
    </row>
    <row r="61" spans="1:3" ht="12.75">
      <c r="A61" s="3"/>
      <c r="B61" s="3"/>
      <c r="C61" s="3"/>
    </row>
    <row r="62" ht="12.75">
      <c r="A62" s="4"/>
    </row>
  </sheetData>
  <sheetProtection/>
  <mergeCells count="4">
    <mergeCell ref="A5:D5"/>
    <mergeCell ref="A7:B7"/>
    <mergeCell ref="A8:B8"/>
    <mergeCell ref="A9:B9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7.57421875" style="0" customWidth="1"/>
    <col min="2" max="2" width="45.00390625" style="0" customWidth="1"/>
    <col min="3" max="3" width="20.421875" style="0" customWidth="1"/>
    <col min="4" max="4" width="17.00390625" style="0" customWidth="1"/>
    <col min="5" max="5" width="12.140625" style="0" customWidth="1"/>
    <col min="6" max="6" width="13.7109375" style="0" customWidth="1"/>
    <col min="7" max="7" width="12.7109375" style="0" customWidth="1"/>
    <col min="8" max="8" width="11.140625" style="0" customWidth="1"/>
    <col min="10" max="10" width="9.57421875" style="0" bestFit="1" customWidth="1"/>
  </cols>
  <sheetData>
    <row r="1" spans="1:6" ht="12.75">
      <c r="A1" s="1"/>
      <c r="B1" s="1" t="s">
        <v>1</v>
      </c>
      <c r="C1" s="1"/>
      <c r="D1" s="1"/>
      <c r="E1" s="1"/>
      <c r="F1" s="1"/>
    </row>
    <row r="2" spans="1:6" ht="12.75">
      <c r="A2" s="26"/>
      <c r="B2" s="26"/>
      <c r="C2" s="26"/>
      <c r="D2" s="26"/>
      <c r="E2" s="26"/>
      <c r="F2" s="1"/>
    </row>
    <row r="3" spans="1:6" ht="12.75">
      <c r="A3" s="23"/>
      <c r="B3" s="23" t="s">
        <v>49</v>
      </c>
      <c r="C3" s="23"/>
      <c r="D3" s="23"/>
      <c r="E3" s="23"/>
      <c r="F3" s="23"/>
    </row>
    <row r="4" spans="1:6" ht="12.75">
      <c r="A4" s="1"/>
      <c r="B4" s="26" t="s">
        <v>46</v>
      </c>
      <c r="C4" s="26"/>
      <c r="D4" s="26"/>
      <c r="E4" s="1"/>
      <c r="F4" s="1"/>
    </row>
    <row r="5" spans="1:6" ht="20.25" customHeight="1">
      <c r="A5" s="69" t="s">
        <v>59</v>
      </c>
      <c r="B5" s="69"/>
      <c r="C5" s="69"/>
      <c r="D5" s="69"/>
      <c r="E5" s="16"/>
      <c r="F5" s="1"/>
    </row>
    <row r="6" spans="1:6" ht="12.75">
      <c r="A6" s="29" t="s">
        <v>56</v>
      </c>
      <c r="B6" s="29"/>
      <c r="C6" s="29"/>
      <c r="D6" s="29"/>
      <c r="E6" s="7"/>
      <c r="F6" s="1"/>
    </row>
    <row r="7" spans="1:6" ht="17.25" customHeight="1">
      <c r="A7" s="69" t="s">
        <v>60</v>
      </c>
      <c r="B7" s="69"/>
      <c r="C7" s="6"/>
      <c r="D7" s="6"/>
      <c r="E7" s="24"/>
      <c r="F7" s="1"/>
    </row>
    <row r="8" spans="1:6" ht="27" customHeight="1">
      <c r="A8" s="70" t="s">
        <v>55</v>
      </c>
      <c r="B8" s="70"/>
      <c r="C8" s="30"/>
      <c r="D8" s="53"/>
      <c r="E8" s="35"/>
      <c r="F8" s="1"/>
    </row>
    <row r="9" spans="1:6" ht="12.75">
      <c r="A9" s="11"/>
      <c r="B9" s="6"/>
      <c r="C9" s="6"/>
      <c r="D9" s="6"/>
      <c r="E9" s="10"/>
      <c r="F9" s="1"/>
    </row>
    <row r="10" spans="1:7" ht="12.75">
      <c r="A10" s="2" t="s">
        <v>3</v>
      </c>
      <c r="B10" s="2" t="s">
        <v>0</v>
      </c>
      <c r="C10" s="2" t="s">
        <v>4</v>
      </c>
      <c r="D10" s="2" t="s">
        <v>5</v>
      </c>
      <c r="E10" s="18"/>
      <c r="F10" s="1"/>
      <c r="G10" s="1"/>
    </row>
    <row r="11" spans="1:7" ht="12.75">
      <c r="A11" s="45">
        <v>1</v>
      </c>
      <c r="B11" s="45">
        <v>2</v>
      </c>
      <c r="C11" s="45">
        <v>3</v>
      </c>
      <c r="D11" s="46">
        <v>4</v>
      </c>
      <c r="E11" s="63"/>
      <c r="F11" s="26"/>
      <c r="G11" s="1"/>
    </row>
    <row r="12" spans="1:7" ht="27" customHeight="1">
      <c r="A12" s="2">
        <v>1</v>
      </c>
      <c r="B12" s="36" t="s">
        <v>6</v>
      </c>
      <c r="C12" s="48">
        <f>C13+C20</f>
        <v>65000.00481333333</v>
      </c>
      <c r="D12" s="48"/>
      <c r="E12" s="57"/>
      <c r="F12" s="23"/>
      <c r="G12" s="1"/>
    </row>
    <row r="13" spans="1:7" ht="25.5">
      <c r="A13" s="2">
        <v>2</v>
      </c>
      <c r="B13" s="36" t="s">
        <v>7</v>
      </c>
      <c r="C13" s="48">
        <f>SUM(C14:C19)</f>
        <v>25275.16263</v>
      </c>
      <c r="D13" s="48"/>
      <c r="E13" s="57"/>
      <c r="F13" s="1"/>
      <c r="G13" s="1"/>
    </row>
    <row r="14" spans="1:7" ht="12.75">
      <c r="A14" s="39" t="s">
        <v>26</v>
      </c>
      <c r="B14" s="22" t="s">
        <v>47</v>
      </c>
      <c r="C14" s="47">
        <v>14950</v>
      </c>
      <c r="D14" s="47"/>
      <c r="E14" s="59"/>
      <c r="F14" s="6"/>
      <c r="G14" s="6"/>
    </row>
    <row r="15" spans="1:7" ht="15.75" customHeight="1">
      <c r="A15" s="40" t="s">
        <v>27</v>
      </c>
      <c r="B15" s="22" t="s">
        <v>50</v>
      </c>
      <c r="C15" s="48">
        <v>3250</v>
      </c>
      <c r="D15" s="2"/>
      <c r="E15" s="18"/>
      <c r="F15" s="7"/>
      <c r="G15" s="7"/>
    </row>
    <row r="16" spans="1:10" ht="12.75">
      <c r="A16" s="39" t="s">
        <v>28</v>
      </c>
      <c r="B16" s="36" t="s">
        <v>8</v>
      </c>
      <c r="C16" s="48">
        <f>(C14+C15)*30.2/100</f>
        <v>5496.4</v>
      </c>
      <c r="D16" s="48"/>
      <c r="E16" s="57"/>
      <c r="F16" s="14"/>
      <c r="G16" s="51"/>
      <c r="J16" s="52"/>
    </row>
    <row r="17" spans="1:10" ht="12.75">
      <c r="A17" s="39" t="s">
        <v>29</v>
      </c>
      <c r="B17" s="36" t="s">
        <v>9</v>
      </c>
      <c r="C17" s="48">
        <f>163482.75/12*7.6/100</f>
        <v>1035.39075</v>
      </c>
      <c r="D17" s="48"/>
      <c r="E17" s="57"/>
      <c r="F17" s="14"/>
      <c r="G17" s="12"/>
      <c r="H17" s="4"/>
      <c r="J17" s="34"/>
    </row>
    <row r="18" spans="1:7" ht="12.75">
      <c r="A18" s="41" t="s">
        <v>30</v>
      </c>
      <c r="B18" s="38" t="s">
        <v>10</v>
      </c>
      <c r="C18" s="50"/>
      <c r="D18" s="50"/>
      <c r="E18" s="64"/>
      <c r="F18" s="32"/>
      <c r="G18" s="34"/>
    </row>
    <row r="19" spans="1:7" ht="27" customHeight="1">
      <c r="A19" s="42" t="s">
        <v>31</v>
      </c>
      <c r="B19" s="38" t="s">
        <v>11</v>
      </c>
      <c r="C19" s="54">
        <f>7149.63*7.6/100</f>
        <v>543.37188</v>
      </c>
      <c r="D19" s="54"/>
      <c r="E19" s="65"/>
      <c r="F19" s="33"/>
      <c r="G19" s="4"/>
    </row>
    <row r="20" spans="1:7" ht="27.75" customHeight="1">
      <c r="A20" s="43">
        <v>3</v>
      </c>
      <c r="B20" s="38" t="s">
        <v>12</v>
      </c>
      <c r="C20" s="50">
        <f>SUM(C21:C25)+C29</f>
        <v>39724.842183333334</v>
      </c>
      <c r="D20" s="50"/>
      <c r="E20" s="64"/>
      <c r="F20" s="33"/>
      <c r="G20" s="34"/>
    </row>
    <row r="21" spans="1:9" ht="25.5">
      <c r="A21" s="43" t="s">
        <v>32</v>
      </c>
      <c r="B21" s="38" t="s">
        <v>13</v>
      </c>
      <c r="C21" s="50">
        <f>(350000/12)*5.5/100</f>
        <v>1604.166666666667</v>
      </c>
      <c r="D21" s="50"/>
      <c r="E21" s="64"/>
      <c r="F21" s="32"/>
      <c r="G21" s="34"/>
      <c r="H21" s="5"/>
      <c r="I21" s="4"/>
    </row>
    <row r="22" spans="1:9" ht="12.75">
      <c r="A22" s="2" t="s">
        <v>33</v>
      </c>
      <c r="B22" s="36" t="s">
        <v>14</v>
      </c>
      <c r="C22" s="48"/>
      <c r="D22" s="48"/>
      <c r="E22" s="57"/>
      <c r="F22" s="1"/>
      <c r="G22" s="12"/>
      <c r="H22" s="5"/>
      <c r="I22" s="4"/>
    </row>
    <row r="23" spans="1:7" ht="12.75">
      <c r="A23" s="2" t="s">
        <v>34</v>
      </c>
      <c r="B23" s="36" t="s">
        <v>15</v>
      </c>
      <c r="C23" s="48"/>
      <c r="D23" s="48"/>
      <c r="E23" s="57"/>
      <c r="F23" s="26"/>
      <c r="G23" s="1"/>
    </row>
    <row r="24" spans="1:7" ht="25.5">
      <c r="A24" s="2" t="s">
        <v>35</v>
      </c>
      <c r="B24" s="36" t="s">
        <v>16</v>
      </c>
      <c r="C24" s="48">
        <f>(1122300/12)*5.5/100+16329.75</f>
        <v>21473.625</v>
      </c>
      <c r="D24" s="48"/>
      <c r="E24" s="57"/>
      <c r="F24" s="23"/>
      <c r="G24" s="12"/>
    </row>
    <row r="25" spans="1:7" ht="25.5">
      <c r="A25" s="44" t="s">
        <v>36</v>
      </c>
      <c r="B25" s="37" t="s">
        <v>17</v>
      </c>
      <c r="C25" s="47">
        <f>SUM(C26:C28)</f>
        <v>12567.117183333334</v>
      </c>
      <c r="D25" s="47"/>
      <c r="E25" s="59"/>
      <c r="F25" s="25"/>
      <c r="G25" s="1"/>
    </row>
    <row r="26" spans="1:7" ht="38.25">
      <c r="A26" s="2" t="s">
        <v>37</v>
      </c>
      <c r="B26" s="37" t="s">
        <v>18</v>
      </c>
      <c r="C26" s="48">
        <f>216648.57*5.5/100</f>
        <v>11915.67135</v>
      </c>
      <c r="D26" s="49"/>
      <c r="E26" s="66"/>
      <c r="F26" s="6"/>
      <c r="G26" s="12"/>
    </row>
    <row r="27" spans="1:7" ht="25.5">
      <c r="A27" s="40" t="s">
        <v>38</v>
      </c>
      <c r="B27" s="37" t="s">
        <v>19</v>
      </c>
      <c r="C27" s="50">
        <f>1987.5*5.5/100</f>
        <v>109.3125</v>
      </c>
      <c r="D27" s="49"/>
      <c r="E27" s="66"/>
      <c r="F27" s="9"/>
      <c r="G27" s="12"/>
    </row>
    <row r="28" spans="1:7" ht="12.75">
      <c r="A28" s="40" t="s">
        <v>39</v>
      </c>
      <c r="B28" s="37" t="s">
        <v>20</v>
      </c>
      <c r="C28" s="48">
        <f>(85600/12)*7.6/100</f>
        <v>542.1333333333333</v>
      </c>
      <c r="D28" s="49"/>
      <c r="E28" s="66"/>
      <c r="F28" s="9"/>
      <c r="G28" s="12"/>
    </row>
    <row r="29" spans="1:7" ht="12.75">
      <c r="A29" s="40" t="s">
        <v>40</v>
      </c>
      <c r="B29" s="37" t="s">
        <v>21</v>
      </c>
      <c r="C29" s="48">
        <f>(644200/12)*7.6/100</f>
        <v>4079.933333333333</v>
      </c>
      <c r="D29" s="49"/>
      <c r="E29" s="66"/>
      <c r="F29" s="9"/>
      <c r="G29" s="12"/>
    </row>
    <row r="30" spans="1:7" ht="38.25">
      <c r="A30" s="40" t="s">
        <v>41</v>
      </c>
      <c r="B30" s="37" t="s">
        <v>22</v>
      </c>
      <c r="C30" s="48"/>
      <c r="D30" s="49"/>
      <c r="E30" s="66"/>
      <c r="F30" s="9"/>
      <c r="G30" s="1"/>
    </row>
    <row r="31" spans="1:7" ht="12.75">
      <c r="A31" s="40" t="s">
        <v>42</v>
      </c>
      <c r="B31" s="37" t="s">
        <v>45</v>
      </c>
      <c r="C31" s="48">
        <f>C12+C30</f>
        <v>65000.00481333333</v>
      </c>
      <c r="D31" s="48"/>
      <c r="E31" s="57"/>
      <c r="F31" s="9"/>
      <c r="G31" s="1"/>
    </row>
    <row r="32" spans="1:7" ht="25.5">
      <c r="A32" s="40">
        <v>6</v>
      </c>
      <c r="B32" s="37" t="s">
        <v>23</v>
      </c>
      <c r="C32" s="48"/>
      <c r="D32" s="49"/>
      <c r="E32" s="66"/>
      <c r="F32" s="9"/>
      <c r="G32" s="1"/>
    </row>
    <row r="33" spans="1:7" ht="12.75">
      <c r="A33" s="40" t="s">
        <v>43</v>
      </c>
      <c r="B33" s="37" t="s">
        <v>25</v>
      </c>
      <c r="C33" s="48">
        <f>C31/50</f>
        <v>1300.0000962666666</v>
      </c>
      <c r="D33" s="48"/>
      <c r="E33" s="57"/>
      <c r="F33" s="9"/>
      <c r="G33" s="1"/>
    </row>
    <row r="34" spans="1:5" ht="23.25" customHeight="1">
      <c r="A34" s="40" t="s">
        <v>44</v>
      </c>
      <c r="B34" s="37" t="s">
        <v>24</v>
      </c>
      <c r="C34" s="50">
        <f>C33/8</f>
        <v>162.50001203333332</v>
      </c>
      <c r="D34" s="48"/>
      <c r="E34" s="57"/>
    </row>
    <row r="35" spans="1:12" ht="12.75">
      <c r="A35" s="12"/>
      <c r="B35" s="7"/>
      <c r="C35" s="68"/>
      <c r="D35" s="8"/>
      <c r="E35" s="57"/>
      <c r="F35" s="1"/>
      <c r="H35" s="61"/>
      <c r="J35" s="5"/>
      <c r="K35" s="5"/>
      <c r="L35" s="5"/>
    </row>
    <row r="36" spans="1:12" ht="12.75">
      <c r="A36" s="1"/>
      <c r="B36" s="7"/>
      <c r="C36" s="68"/>
      <c r="D36" s="8"/>
      <c r="E36" s="57"/>
      <c r="F36" s="1"/>
      <c r="H36" s="61"/>
      <c r="J36" s="5"/>
      <c r="K36" s="5"/>
      <c r="L36" s="5"/>
    </row>
    <row r="37" spans="1:12" ht="12.75">
      <c r="A37" s="1"/>
      <c r="B37" s="7"/>
      <c r="C37" s="7"/>
      <c r="D37" s="1"/>
      <c r="E37" s="12"/>
      <c r="F37" s="1"/>
      <c r="H37" s="61"/>
      <c r="J37" s="5"/>
      <c r="K37" s="5"/>
      <c r="L37" s="5"/>
    </row>
    <row r="38" spans="1:12" ht="12.75">
      <c r="A38" s="1"/>
      <c r="B38" s="1"/>
      <c r="C38" s="1"/>
      <c r="D38" s="1"/>
      <c r="E38" s="12"/>
      <c r="F38" s="56"/>
      <c r="J38" s="5"/>
      <c r="K38" s="5"/>
      <c r="L38" s="5"/>
    </row>
    <row r="39" spans="1:12" ht="12.75">
      <c r="A39" s="1"/>
      <c r="B39" s="55"/>
      <c r="C39" s="27"/>
      <c r="D39" s="27"/>
      <c r="E39" s="58"/>
      <c r="F39" s="56"/>
      <c r="J39" s="5"/>
      <c r="K39" s="5"/>
      <c r="L39" s="5"/>
    </row>
    <row r="40" spans="1:6" ht="12.75">
      <c r="A40" s="6"/>
      <c r="B40" s="27"/>
      <c r="C40" s="27"/>
      <c r="D40" s="6"/>
      <c r="E40" s="13"/>
      <c r="F40" s="1"/>
    </row>
    <row r="41" spans="1:6" ht="26.25" customHeight="1">
      <c r="A41" s="7"/>
      <c r="B41" s="13"/>
      <c r="C41" s="13"/>
      <c r="D41" s="14"/>
      <c r="E41" s="14"/>
      <c r="F41" s="15"/>
    </row>
    <row r="42" spans="1:6" ht="15" customHeight="1">
      <c r="A42" s="7"/>
      <c r="B42" s="13"/>
      <c r="C42" s="13"/>
      <c r="D42" s="14"/>
      <c r="E42" s="14"/>
      <c r="F42" s="1"/>
    </row>
    <row r="43" spans="1:6" ht="52.5" customHeight="1">
      <c r="A43" s="7"/>
      <c r="B43" s="13"/>
      <c r="C43" s="13"/>
      <c r="D43" s="17"/>
      <c r="E43" s="14"/>
      <c r="F43" s="15"/>
    </row>
    <row r="44" spans="1:6" ht="27" customHeight="1">
      <c r="A44" s="7"/>
      <c r="B44" s="13"/>
      <c r="C44" s="13"/>
      <c r="D44" s="14"/>
      <c r="E44" s="14"/>
      <c r="F44" s="1"/>
    </row>
    <row r="45" spans="1:7" ht="12.75">
      <c r="A45" s="7"/>
      <c r="B45" s="13"/>
      <c r="C45" s="13"/>
      <c r="D45" s="17"/>
      <c r="E45" s="14"/>
      <c r="F45" s="15"/>
      <c r="G45" s="4"/>
    </row>
    <row r="46" spans="1:6" ht="27.75" customHeight="1">
      <c r="A46" s="18"/>
      <c r="B46" s="13"/>
      <c r="C46" s="13"/>
      <c r="D46" s="19"/>
      <c r="E46" s="1"/>
      <c r="F46" s="1"/>
    </row>
    <row r="47" spans="1:6" ht="12.75">
      <c r="A47" s="20"/>
      <c r="B47" s="29"/>
      <c r="C47" s="29"/>
      <c r="D47" s="21"/>
      <c r="E47" s="15"/>
      <c r="F47" s="1"/>
    </row>
    <row r="48" spans="1:6" ht="12.75">
      <c r="A48" s="1"/>
      <c r="B48" s="11"/>
      <c r="C48" s="1"/>
      <c r="D48" s="1"/>
      <c r="E48" s="1"/>
      <c r="F48" s="1"/>
    </row>
    <row r="49" spans="1:6" ht="12.75">
      <c r="A49" s="12"/>
      <c r="B49" s="12"/>
      <c r="C49" s="1"/>
      <c r="D49" s="12"/>
      <c r="E49" s="1"/>
      <c r="F49" s="1"/>
    </row>
    <row r="50" spans="1:6" ht="12.75">
      <c r="A50" s="12"/>
      <c r="B50" s="1"/>
      <c r="C50" s="1"/>
      <c r="D50" s="12"/>
      <c r="E50" s="1"/>
      <c r="F50" s="1"/>
    </row>
    <row r="51" spans="1:4" ht="12.75">
      <c r="A51" s="4"/>
      <c r="D51" s="4"/>
    </row>
    <row r="52" spans="1:4" ht="12.75">
      <c r="A52" s="4"/>
      <c r="D52" s="4"/>
    </row>
    <row r="54" spans="1:4" ht="12.75">
      <c r="A54" s="4"/>
      <c r="D54" s="4"/>
    </row>
    <row r="55" spans="1:4" ht="12.75">
      <c r="A55" s="4"/>
      <c r="D55" s="4"/>
    </row>
    <row r="56" spans="1:4" ht="12.75">
      <c r="A56" s="4"/>
      <c r="D56" s="4"/>
    </row>
    <row r="57" spans="1:4" ht="12.75">
      <c r="A57" s="4"/>
      <c r="D57" s="4"/>
    </row>
    <row r="58" spans="1:4" ht="12.75">
      <c r="A58" s="4"/>
      <c r="D58" s="4"/>
    </row>
    <row r="60" spans="1:3" ht="12.75">
      <c r="A60" s="3"/>
      <c r="B60" s="3"/>
      <c r="C60" s="3"/>
    </row>
    <row r="61" ht="12.75">
      <c r="A61" s="4"/>
    </row>
  </sheetData>
  <sheetProtection/>
  <mergeCells count="3">
    <mergeCell ref="A5:D5"/>
    <mergeCell ref="A7:B7"/>
    <mergeCell ref="A8:B8"/>
  </mergeCells>
  <printOptions/>
  <pageMargins left="0.25" right="0.1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34">
      <selection activeCell="A55" sqref="A55"/>
    </sheetView>
  </sheetViews>
  <sheetFormatPr defaultColWidth="9.140625" defaultRowHeight="12.75"/>
  <cols>
    <col min="1" max="1" width="7.57421875" style="0" customWidth="1"/>
    <col min="2" max="2" width="45.00390625" style="0" customWidth="1"/>
    <col min="3" max="3" width="20.421875" style="0" customWidth="1"/>
    <col min="4" max="4" width="17.00390625" style="0" customWidth="1"/>
    <col min="5" max="5" width="12.140625" style="0" customWidth="1"/>
    <col min="6" max="6" width="14.00390625" style="0" customWidth="1"/>
    <col min="7" max="7" width="12.140625" style="0" customWidth="1"/>
    <col min="8" max="8" width="10.8515625" style="0" customWidth="1"/>
    <col min="10" max="10" width="9.57421875" style="0" bestFit="1" customWidth="1"/>
  </cols>
  <sheetData>
    <row r="1" spans="1:6" ht="12.75">
      <c r="A1" s="1"/>
      <c r="B1" s="1" t="s">
        <v>1</v>
      </c>
      <c r="C1" s="1"/>
      <c r="D1" s="1"/>
      <c r="E1" s="1"/>
      <c r="F1" s="1"/>
    </row>
    <row r="2" spans="1:6" ht="12.75">
      <c r="A2" s="26"/>
      <c r="B2" s="26"/>
      <c r="C2" s="26"/>
      <c r="D2" s="26"/>
      <c r="E2" s="26"/>
      <c r="F2" s="1"/>
    </row>
    <row r="3" spans="1:6" ht="12.75">
      <c r="A3" s="23"/>
      <c r="B3" s="23" t="s">
        <v>51</v>
      </c>
      <c r="C3" s="23"/>
      <c r="D3" s="23"/>
      <c r="E3" s="23"/>
      <c r="F3" s="23"/>
    </row>
    <row r="4" spans="1:6" ht="12.75">
      <c r="A4" s="1"/>
      <c r="B4" s="26" t="s">
        <v>46</v>
      </c>
      <c r="C4" s="26"/>
      <c r="D4" s="26"/>
      <c r="E4" s="1"/>
      <c r="F4" s="1"/>
    </row>
    <row r="5" spans="1:6" ht="20.25" customHeight="1">
      <c r="A5" s="69" t="s">
        <v>59</v>
      </c>
      <c r="B5" s="69"/>
      <c r="C5" s="69"/>
      <c r="D5" s="69"/>
      <c r="E5" s="16"/>
      <c r="F5" s="1"/>
    </row>
    <row r="6" spans="1:6" ht="12.75">
      <c r="A6" s="29" t="s">
        <v>57</v>
      </c>
      <c r="B6" s="29"/>
      <c r="C6" s="29"/>
      <c r="D6" s="29"/>
      <c r="E6" s="7"/>
      <c r="F6" s="1"/>
    </row>
    <row r="7" spans="1:6" ht="17.25" customHeight="1">
      <c r="A7" s="69" t="s">
        <v>67</v>
      </c>
      <c r="B7" s="69"/>
      <c r="C7" s="6"/>
      <c r="D7" s="6"/>
      <c r="E7" s="24"/>
      <c r="F7" s="1"/>
    </row>
    <row r="8" spans="1:6" ht="27" customHeight="1">
      <c r="A8" s="70" t="s">
        <v>68</v>
      </c>
      <c r="B8" s="70"/>
      <c r="C8" s="30"/>
      <c r="D8" s="53"/>
      <c r="E8" s="35"/>
      <c r="F8" s="1"/>
    </row>
    <row r="9" spans="1:6" ht="12.75">
      <c r="A9" s="70" t="s">
        <v>2</v>
      </c>
      <c r="B9" s="70"/>
      <c r="C9" s="60"/>
      <c r="D9" s="30"/>
      <c r="E9" s="31"/>
      <c r="F9" s="1"/>
    </row>
    <row r="10" spans="1:6" ht="12.75">
      <c r="A10" s="11"/>
      <c r="B10" s="6"/>
      <c r="C10" s="6"/>
      <c r="D10" s="6"/>
      <c r="E10" s="10"/>
      <c r="F10" s="1"/>
    </row>
    <row r="11" spans="1:7" ht="12.75">
      <c r="A11" s="2" t="s">
        <v>3</v>
      </c>
      <c r="B11" s="2" t="s">
        <v>0</v>
      </c>
      <c r="C11" s="2" t="s">
        <v>4</v>
      </c>
      <c r="D11" s="2" t="s">
        <v>5</v>
      </c>
      <c r="E11" s="18"/>
      <c r="F11" s="1"/>
      <c r="G11" s="1"/>
    </row>
    <row r="12" spans="1:7" ht="12.75">
      <c r="A12" s="45">
        <v>1</v>
      </c>
      <c r="B12" s="45">
        <v>2</v>
      </c>
      <c r="C12" s="45">
        <v>3</v>
      </c>
      <c r="D12" s="46">
        <v>4</v>
      </c>
      <c r="E12" s="63"/>
      <c r="F12" s="26"/>
      <c r="G12" s="1"/>
    </row>
    <row r="13" spans="1:7" ht="27" customHeight="1">
      <c r="A13" s="2">
        <v>1</v>
      </c>
      <c r="B13" s="36" t="s">
        <v>6</v>
      </c>
      <c r="C13" s="48">
        <f>C14+C21</f>
        <v>31999.995880000002</v>
      </c>
      <c r="D13" s="48"/>
      <c r="E13" s="57"/>
      <c r="F13" s="23"/>
      <c r="G13" s="1"/>
    </row>
    <row r="14" spans="1:7" ht="25.5">
      <c r="A14" s="2">
        <v>2</v>
      </c>
      <c r="B14" s="36" t="s">
        <v>7</v>
      </c>
      <c r="C14" s="48">
        <f>SUM(C15:C20)</f>
        <v>12164.47662</v>
      </c>
      <c r="D14" s="48"/>
      <c r="E14" s="57"/>
      <c r="F14" s="1"/>
      <c r="G14" s="1"/>
    </row>
    <row r="15" spans="1:7" ht="12.75">
      <c r="A15" s="39" t="s">
        <v>26</v>
      </c>
      <c r="B15" s="22" t="s">
        <v>47</v>
      </c>
      <c r="C15" s="47">
        <v>7360</v>
      </c>
      <c r="D15" s="47"/>
      <c r="E15" s="59"/>
      <c r="F15" s="6"/>
      <c r="G15" s="6"/>
    </row>
    <row r="16" spans="1:7" ht="15.75" customHeight="1">
      <c r="A16" s="40" t="s">
        <v>27</v>
      </c>
      <c r="B16" s="22" t="s">
        <v>50</v>
      </c>
      <c r="C16" s="48">
        <v>1600</v>
      </c>
      <c r="D16" s="2"/>
      <c r="E16" s="18"/>
      <c r="F16" s="7"/>
      <c r="G16" s="7"/>
    </row>
    <row r="17" spans="1:10" ht="12.75">
      <c r="A17" s="39" t="s">
        <v>28</v>
      </c>
      <c r="B17" s="36" t="s">
        <v>8</v>
      </c>
      <c r="C17" s="48">
        <f>(C15+C16)*30.2/100</f>
        <v>2705.92</v>
      </c>
      <c r="D17" s="48"/>
      <c r="E17" s="57"/>
      <c r="F17" s="14"/>
      <c r="G17" s="51"/>
      <c r="J17" s="52"/>
    </row>
    <row r="18" spans="1:10" ht="12.75">
      <c r="A18" s="39" t="s">
        <v>29</v>
      </c>
      <c r="B18" s="36" t="s">
        <v>9</v>
      </c>
      <c r="C18" s="48">
        <f>163482.75/12*2.4/100</f>
        <v>326.9655</v>
      </c>
      <c r="D18" s="48"/>
      <c r="E18" s="57"/>
      <c r="F18" s="14"/>
      <c r="G18" s="12"/>
      <c r="H18" s="4"/>
      <c r="J18" s="34"/>
    </row>
    <row r="19" spans="1:7" ht="12.75">
      <c r="A19" s="41" t="s">
        <v>30</v>
      </c>
      <c r="B19" s="38" t="s">
        <v>10</v>
      </c>
      <c r="C19" s="50"/>
      <c r="D19" s="50"/>
      <c r="E19" s="64"/>
      <c r="F19" s="32"/>
      <c r="G19" s="34"/>
    </row>
    <row r="20" spans="1:7" ht="27" customHeight="1">
      <c r="A20" s="42" t="s">
        <v>31</v>
      </c>
      <c r="B20" s="38" t="s">
        <v>11</v>
      </c>
      <c r="C20" s="54">
        <f>7149.63*2.4/100</f>
        <v>171.59112000000002</v>
      </c>
      <c r="D20" s="54"/>
      <c r="E20" s="65"/>
      <c r="F20" s="33"/>
      <c r="G20" s="4"/>
    </row>
    <row r="21" spans="1:7" ht="27.75" customHeight="1">
      <c r="A21" s="43">
        <v>3</v>
      </c>
      <c r="B21" s="38" t="s">
        <v>12</v>
      </c>
      <c r="C21" s="50">
        <f>SUM(C22:C26)+C30</f>
        <v>19835.51926</v>
      </c>
      <c r="D21" s="50"/>
      <c r="E21" s="64"/>
      <c r="F21" s="33"/>
      <c r="G21" s="34"/>
    </row>
    <row r="22" spans="1:9" ht="25.5">
      <c r="A22" s="43" t="s">
        <v>32</v>
      </c>
      <c r="B22" s="38" t="s">
        <v>13</v>
      </c>
      <c r="C22" s="50">
        <f>(350000/12)*1.8/100</f>
        <v>525</v>
      </c>
      <c r="D22" s="50"/>
      <c r="E22" s="64"/>
      <c r="F22" s="32"/>
      <c r="G22" s="34"/>
      <c r="H22" s="5"/>
      <c r="I22" s="4"/>
    </row>
    <row r="23" spans="1:9" ht="12.75">
      <c r="A23" s="2" t="s">
        <v>33</v>
      </c>
      <c r="B23" s="36" t="s">
        <v>14</v>
      </c>
      <c r="C23" s="48"/>
      <c r="D23" s="48"/>
      <c r="E23" s="57"/>
      <c r="F23" s="1"/>
      <c r="G23" s="12"/>
      <c r="H23" s="5"/>
      <c r="I23" s="4"/>
    </row>
    <row r="24" spans="1:7" ht="12.75">
      <c r="A24" s="2" t="s">
        <v>34</v>
      </c>
      <c r="B24" s="36" t="s">
        <v>15</v>
      </c>
      <c r="C24" s="48"/>
      <c r="D24" s="48"/>
      <c r="E24" s="57"/>
      <c r="F24" s="26"/>
      <c r="G24" s="1"/>
    </row>
    <row r="25" spans="1:7" ht="25.5">
      <c r="A25" s="2" t="s">
        <v>35</v>
      </c>
      <c r="B25" s="36" t="s">
        <v>16</v>
      </c>
      <c r="C25" s="48">
        <f>(1122300/12)*1.8/100+12232.02</f>
        <v>13915.470000000001</v>
      </c>
      <c r="D25" s="48"/>
      <c r="E25" s="57"/>
      <c r="F25" s="23"/>
      <c r="G25" s="12"/>
    </row>
    <row r="26" spans="1:7" ht="25.5">
      <c r="A26" s="44" t="s">
        <v>36</v>
      </c>
      <c r="B26" s="37" t="s">
        <v>17</v>
      </c>
      <c r="C26" s="47">
        <f>SUM(C27:C29)</f>
        <v>4106.64926</v>
      </c>
      <c r="D26" s="47"/>
      <c r="E26" s="59"/>
      <c r="F26" s="25"/>
      <c r="G26" s="1"/>
    </row>
    <row r="27" spans="1:7" ht="38.25">
      <c r="A27" s="2" t="s">
        <v>37</v>
      </c>
      <c r="B27" s="37" t="s">
        <v>18</v>
      </c>
      <c r="C27" s="48">
        <f>216648.57*1.8/100</f>
        <v>3899.6742600000002</v>
      </c>
      <c r="D27" s="49"/>
      <c r="E27" s="66"/>
      <c r="F27" s="6"/>
      <c r="G27" s="12"/>
    </row>
    <row r="28" spans="1:7" ht="25.5">
      <c r="A28" s="40" t="s">
        <v>38</v>
      </c>
      <c r="B28" s="37" t="s">
        <v>19</v>
      </c>
      <c r="C28" s="50">
        <f>1987.5*1.8/100</f>
        <v>35.775</v>
      </c>
      <c r="D28" s="49"/>
      <c r="E28" s="66"/>
      <c r="F28" s="9"/>
      <c r="G28" s="12"/>
    </row>
    <row r="29" spans="1:7" ht="12.75">
      <c r="A29" s="40" t="s">
        <v>39</v>
      </c>
      <c r="B29" s="37" t="s">
        <v>20</v>
      </c>
      <c r="C29" s="48">
        <f>(85600/12)*2.4/100</f>
        <v>171.2</v>
      </c>
      <c r="D29" s="49"/>
      <c r="E29" s="66"/>
      <c r="F29" s="9"/>
      <c r="G29" s="12"/>
    </row>
    <row r="30" spans="1:7" ht="12.75">
      <c r="A30" s="40" t="s">
        <v>40</v>
      </c>
      <c r="B30" s="37" t="s">
        <v>21</v>
      </c>
      <c r="C30" s="48">
        <f>(644200/12)*2.4/100</f>
        <v>1288.4</v>
      </c>
      <c r="D30" s="49"/>
      <c r="E30" s="66"/>
      <c r="F30" s="9"/>
      <c r="G30" s="12"/>
    </row>
    <row r="31" spans="1:7" ht="38.25">
      <c r="A31" s="40" t="s">
        <v>41</v>
      </c>
      <c r="B31" s="37" t="s">
        <v>22</v>
      </c>
      <c r="C31" s="48"/>
      <c r="D31" s="49"/>
      <c r="E31" s="66"/>
      <c r="F31" s="9"/>
      <c r="G31" s="1"/>
    </row>
    <row r="32" spans="1:7" ht="12.75">
      <c r="A32" s="40" t="s">
        <v>42</v>
      </c>
      <c r="B32" s="37" t="s">
        <v>45</v>
      </c>
      <c r="C32" s="48">
        <f>C13+C31</f>
        <v>31999.995880000002</v>
      </c>
      <c r="D32" s="48"/>
      <c r="E32" s="57"/>
      <c r="F32" s="9"/>
      <c r="G32" s="1"/>
    </row>
    <row r="33" spans="1:7" ht="25.5">
      <c r="A33" s="40">
        <v>6</v>
      </c>
      <c r="B33" s="37" t="s">
        <v>23</v>
      </c>
      <c r="C33" s="48"/>
      <c r="D33" s="49"/>
      <c r="E33" s="66"/>
      <c r="F33" s="9"/>
      <c r="G33" s="1"/>
    </row>
    <row r="34" spans="1:7" ht="12.75">
      <c r="A34" s="40" t="s">
        <v>43</v>
      </c>
      <c r="B34" s="37" t="s">
        <v>25</v>
      </c>
      <c r="C34" s="48">
        <f>C32/16</f>
        <v>1999.9997425000001</v>
      </c>
      <c r="D34" s="48"/>
      <c r="E34" s="57"/>
      <c r="F34" s="9"/>
      <c r="G34" s="1"/>
    </row>
    <row r="35" spans="1:5" ht="23.25" customHeight="1">
      <c r="A35" s="40" t="s">
        <v>44</v>
      </c>
      <c r="B35" s="37" t="s">
        <v>24</v>
      </c>
      <c r="C35" s="50">
        <f>2000/16</f>
        <v>125</v>
      </c>
      <c r="D35" s="48"/>
      <c r="E35" s="57"/>
    </row>
    <row r="36" spans="1:12" ht="12.75">
      <c r="A36" s="12"/>
      <c r="B36" s="7"/>
      <c r="C36" s="68"/>
      <c r="D36" s="8"/>
      <c r="E36" s="57"/>
      <c r="F36" s="1"/>
      <c r="H36" s="61"/>
      <c r="J36" s="5"/>
      <c r="K36" s="5"/>
      <c r="L36" s="5"/>
    </row>
    <row r="37" spans="1:12" ht="12.75">
      <c r="A37" s="1"/>
      <c r="B37" s="7"/>
      <c r="C37" s="68"/>
      <c r="D37" s="1"/>
      <c r="E37" s="12"/>
      <c r="F37" s="56"/>
      <c r="H37" s="61"/>
      <c r="J37" s="5"/>
      <c r="K37" s="5"/>
      <c r="L37" s="5"/>
    </row>
    <row r="38" spans="1:6" ht="27" customHeight="1">
      <c r="A38" s="7"/>
      <c r="B38" s="13"/>
      <c r="C38" s="13"/>
      <c r="D38" s="14"/>
      <c r="E38" s="14"/>
      <c r="F38" s="1"/>
    </row>
    <row r="39" spans="1:7" ht="12.75">
      <c r="A39" s="7"/>
      <c r="B39" s="13"/>
      <c r="C39" s="13"/>
      <c r="D39" s="17"/>
      <c r="E39" s="14"/>
      <c r="F39" s="15"/>
      <c r="G39" s="4"/>
    </row>
    <row r="40" spans="1:6" ht="27.75" customHeight="1">
      <c r="A40" s="18"/>
      <c r="B40" s="13"/>
      <c r="C40" s="13"/>
      <c r="D40" s="19"/>
      <c r="E40" s="1"/>
      <c r="F40" s="1"/>
    </row>
    <row r="41" spans="1:6" ht="12.75">
      <c r="A41" s="20"/>
      <c r="B41" s="29"/>
      <c r="C41" s="29"/>
      <c r="D41" s="21"/>
      <c r="E41" s="15"/>
      <c r="F41" s="1"/>
    </row>
    <row r="42" spans="1:6" ht="12.75">
      <c r="A42" s="1"/>
      <c r="B42" s="11"/>
      <c r="C42" s="1"/>
      <c r="D42" s="1"/>
      <c r="E42" s="1"/>
      <c r="F42" s="1"/>
    </row>
    <row r="43" spans="1:6" ht="12.75">
      <c r="A43" s="12"/>
      <c r="B43" s="12"/>
      <c r="C43" s="1"/>
      <c r="D43" s="12"/>
      <c r="E43" s="1"/>
      <c r="F43" s="1"/>
    </row>
    <row r="44" spans="1:6" ht="12.75">
      <c r="A44" s="12"/>
      <c r="B44" s="1"/>
      <c r="C44" s="1"/>
      <c r="D44" s="12"/>
      <c r="E44" s="1"/>
      <c r="F44" s="1"/>
    </row>
    <row r="45" spans="1:4" ht="12.75">
      <c r="A45" s="4"/>
      <c r="D45" s="4"/>
    </row>
    <row r="46" spans="1:4" ht="12.75">
      <c r="A46" s="4"/>
      <c r="D46" s="4"/>
    </row>
    <row r="48" spans="1:4" ht="12.75">
      <c r="A48" s="4"/>
      <c r="D48" s="4"/>
    </row>
    <row r="49" spans="1:4" ht="12.75">
      <c r="A49" s="4"/>
      <c r="D49" s="4"/>
    </row>
    <row r="50" spans="1:4" ht="12.75">
      <c r="A50" s="4"/>
      <c r="D50" s="4"/>
    </row>
    <row r="51" spans="1:4" ht="12.75">
      <c r="A51" s="4"/>
      <c r="D51" s="4"/>
    </row>
    <row r="52" spans="1:4" ht="12.75">
      <c r="A52" s="4"/>
      <c r="D52" s="4"/>
    </row>
    <row r="54" spans="1:3" ht="12.75">
      <c r="A54" s="3"/>
      <c r="B54" s="3"/>
      <c r="C54" s="3"/>
    </row>
    <row r="55" ht="12.75">
      <c r="A55" s="4"/>
    </row>
  </sheetData>
  <sheetProtection/>
  <mergeCells count="4">
    <mergeCell ref="A7:B7"/>
    <mergeCell ref="A8:B8"/>
    <mergeCell ref="A9:B9"/>
    <mergeCell ref="A5:D5"/>
  </mergeCells>
  <printOptions/>
  <pageMargins left="0.23" right="0.25" top="0.29" bottom="0.28" header="0.96" footer="0.3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7.57421875" style="0" customWidth="1"/>
    <col min="2" max="2" width="45.00390625" style="0" customWidth="1"/>
    <col min="3" max="3" width="20.421875" style="0" customWidth="1"/>
    <col min="4" max="4" width="17.00390625" style="0" customWidth="1"/>
    <col min="5" max="5" width="12.140625" style="0" customWidth="1"/>
    <col min="6" max="6" width="13.57421875" style="0" customWidth="1"/>
    <col min="7" max="7" width="12.28125" style="0" customWidth="1"/>
    <col min="8" max="8" width="10.00390625" style="0" customWidth="1"/>
    <col min="10" max="10" width="9.57421875" style="0" bestFit="1" customWidth="1"/>
  </cols>
  <sheetData>
    <row r="1" spans="1:6" ht="12.75">
      <c r="A1" s="1"/>
      <c r="B1" s="1" t="s">
        <v>1</v>
      </c>
      <c r="C1" s="1"/>
      <c r="D1" s="1"/>
      <c r="E1" s="1"/>
      <c r="F1" s="1"/>
    </row>
    <row r="2" spans="1:6" ht="12.75">
      <c r="A2" s="26"/>
      <c r="B2" s="26"/>
      <c r="C2" s="26"/>
      <c r="D2" s="26"/>
      <c r="E2" s="26"/>
      <c r="F2" s="1"/>
    </row>
    <row r="3" spans="1:6" ht="12.75">
      <c r="A3" s="23"/>
      <c r="B3" s="23" t="s">
        <v>52</v>
      </c>
      <c r="C3" s="23"/>
      <c r="D3" s="23"/>
      <c r="E3" s="23"/>
      <c r="F3" s="23"/>
    </row>
    <row r="4" spans="1:6" ht="12.75">
      <c r="A4" s="1"/>
      <c r="B4" s="26" t="s">
        <v>46</v>
      </c>
      <c r="C4" s="26"/>
      <c r="D4" s="26"/>
      <c r="E4" s="1"/>
      <c r="F4" s="1"/>
    </row>
    <row r="5" spans="1:6" ht="20.25" customHeight="1">
      <c r="A5" s="69" t="s">
        <v>61</v>
      </c>
      <c r="B5" s="69"/>
      <c r="C5" s="69"/>
      <c r="D5" s="69"/>
      <c r="E5" s="16"/>
      <c r="F5" s="1"/>
    </row>
    <row r="6" spans="1:6" ht="12.75">
      <c r="A6" s="29" t="s">
        <v>62</v>
      </c>
      <c r="B6" s="29"/>
      <c r="C6" s="29"/>
      <c r="D6" s="29"/>
      <c r="E6" s="7"/>
      <c r="F6" s="1"/>
    </row>
    <row r="7" spans="1:6" ht="17.25" customHeight="1">
      <c r="A7" s="69" t="s">
        <v>71</v>
      </c>
      <c r="B7" s="69"/>
      <c r="C7" s="6"/>
      <c r="D7" s="6"/>
      <c r="E7" s="24"/>
      <c r="F7" s="1"/>
    </row>
    <row r="8" spans="1:6" ht="27" customHeight="1">
      <c r="A8" s="70" t="s">
        <v>55</v>
      </c>
      <c r="B8" s="70"/>
      <c r="C8" s="30"/>
      <c r="D8" s="53"/>
      <c r="E8" s="35"/>
      <c r="F8" s="1"/>
    </row>
    <row r="9" spans="1:6" ht="12.75">
      <c r="A9" s="70" t="s">
        <v>2</v>
      </c>
      <c r="B9" s="70"/>
      <c r="C9" s="60"/>
      <c r="D9" s="30"/>
      <c r="E9" s="31"/>
      <c r="F9" s="1"/>
    </row>
    <row r="10" spans="1:6" ht="12.75">
      <c r="A10" s="11"/>
      <c r="B10" s="6"/>
      <c r="C10" s="6"/>
      <c r="D10" s="6"/>
      <c r="E10" s="10"/>
      <c r="F10" s="1"/>
    </row>
    <row r="11" spans="1:7" ht="12.75">
      <c r="A11" s="2" t="s">
        <v>3</v>
      </c>
      <c r="B11" s="2" t="s">
        <v>0</v>
      </c>
      <c r="C11" s="2" t="s">
        <v>4</v>
      </c>
      <c r="D11" s="2" t="s">
        <v>5</v>
      </c>
      <c r="E11" s="18"/>
      <c r="F11" s="1"/>
      <c r="G11" s="1"/>
    </row>
    <row r="12" spans="1:7" ht="12.75">
      <c r="A12" s="45">
        <v>1</v>
      </c>
      <c r="B12" s="45">
        <v>2</v>
      </c>
      <c r="C12" s="45">
        <v>3</v>
      </c>
      <c r="D12" s="46">
        <v>4</v>
      </c>
      <c r="E12" s="63"/>
      <c r="F12" s="26"/>
      <c r="G12" s="1"/>
    </row>
    <row r="13" spans="1:7" ht="27" customHeight="1">
      <c r="A13" s="2">
        <v>1</v>
      </c>
      <c r="B13" s="36" t="s">
        <v>6</v>
      </c>
      <c r="C13" s="48">
        <f>C14+C21</f>
        <v>55999.99699500001</v>
      </c>
      <c r="D13" s="48"/>
      <c r="E13" s="57"/>
      <c r="F13" s="23"/>
      <c r="G13" s="1"/>
    </row>
    <row r="14" spans="1:7" ht="25.5">
      <c r="A14" s="2">
        <v>2</v>
      </c>
      <c r="B14" s="36" t="s">
        <v>7</v>
      </c>
      <c r="C14" s="48">
        <f>SUM(C15:C20)</f>
        <v>52958.87133500001</v>
      </c>
      <c r="D14" s="48"/>
      <c r="E14" s="57"/>
      <c r="F14" s="1"/>
      <c r="G14" s="1"/>
    </row>
    <row r="15" spans="1:7" ht="12.75">
      <c r="A15" s="39" t="s">
        <v>26</v>
      </c>
      <c r="B15" s="22" t="s">
        <v>47</v>
      </c>
      <c r="C15" s="47">
        <v>32783.51</v>
      </c>
      <c r="D15" s="47"/>
      <c r="E15" s="59"/>
      <c r="F15" s="6"/>
      <c r="G15" s="6"/>
    </row>
    <row r="16" spans="1:7" ht="15.75" customHeight="1">
      <c r="A16" s="40" t="s">
        <v>27</v>
      </c>
      <c r="B16" s="22" t="s">
        <v>50</v>
      </c>
      <c r="C16" s="48">
        <v>9485.36</v>
      </c>
      <c r="D16" s="2"/>
      <c r="E16" s="18"/>
      <c r="F16" s="7"/>
      <c r="G16" s="7"/>
    </row>
    <row r="17" spans="1:10" ht="12.75">
      <c r="A17" s="39" t="s">
        <v>28</v>
      </c>
      <c r="B17" s="36" t="s">
        <v>8</v>
      </c>
      <c r="C17" s="48">
        <f>C15*30.2/100</f>
        <v>9900.62002</v>
      </c>
      <c r="D17" s="48"/>
      <c r="E17" s="57"/>
      <c r="F17" s="14"/>
      <c r="G17" s="51"/>
      <c r="J17" s="52"/>
    </row>
    <row r="18" spans="1:10" ht="12.75">
      <c r="A18" s="39" t="s">
        <v>29</v>
      </c>
      <c r="B18" s="36" t="s">
        <v>9</v>
      </c>
      <c r="C18" s="48">
        <f>163482.75/12*3.8/100</f>
        <v>517.695375</v>
      </c>
      <c r="D18" s="48"/>
      <c r="E18" s="57"/>
      <c r="F18" s="14"/>
      <c r="G18" s="12"/>
      <c r="H18" s="4"/>
      <c r="J18" s="34"/>
    </row>
    <row r="19" spans="1:7" ht="12.75">
      <c r="A19" s="41" t="s">
        <v>30</v>
      </c>
      <c r="B19" s="38" t="s">
        <v>10</v>
      </c>
      <c r="C19" s="50"/>
      <c r="D19" s="50"/>
      <c r="E19" s="64"/>
      <c r="F19" s="32"/>
      <c r="G19" s="34"/>
    </row>
    <row r="20" spans="1:7" ht="27" customHeight="1">
      <c r="A20" s="42" t="s">
        <v>31</v>
      </c>
      <c r="B20" s="38" t="s">
        <v>11</v>
      </c>
      <c r="C20" s="54">
        <f>7149.63*3.8/100</f>
        <v>271.68594</v>
      </c>
      <c r="D20" s="54"/>
      <c r="E20" s="65"/>
      <c r="F20" s="33"/>
      <c r="G20" s="4"/>
    </row>
    <row r="21" spans="1:7" ht="27.75" customHeight="1">
      <c r="A21" s="43">
        <v>3</v>
      </c>
      <c r="B21" s="38" t="s">
        <v>12</v>
      </c>
      <c r="C21" s="50">
        <f>SUM(C22:C26)+C30</f>
        <v>3041.12566</v>
      </c>
      <c r="D21" s="50"/>
      <c r="E21" s="64"/>
      <c r="F21" s="33"/>
      <c r="G21" s="34"/>
    </row>
    <row r="22" spans="1:9" ht="25.5">
      <c r="A22" s="43" t="s">
        <v>32</v>
      </c>
      <c r="B22" s="38" t="s">
        <v>13</v>
      </c>
      <c r="C22" s="50">
        <f>(150000/12)*5.3/100</f>
        <v>662.5</v>
      </c>
      <c r="D22" s="50"/>
      <c r="E22" s="64"/>
      <c r="F22" s="32"/>
      <c r="G22" s="34"/>
      <c r="H22" s="5"/>
      <c r="I22" s="4"/>
    </row>
    <row r="23" spans="1:9" ht="12.75">
      <c r="A23" s="2" t="s">
        <v>33</v>
      </c>
      <c r="B23" s="36" t="s">
        <v>14</v>
      </c>
      <c r="C23" s="48"/>
      <c r="D23" s="48"/>
      <c r="E23" s="57"/>
      <c r="F23" s="1"/>
      <c r="G23" s="12"/>
      <c r="H23" s="5"/>
      <c r="I23" s="4"/>
    </row>
    <row r="24" spans="1:7" ht="12.75">
      <c r="A24" s="2" t="s">
        <v>34</v>
      </c>
      <c r="B24" s="36" t="s">
        <v>15</v>
      </c>
      <c r="C24" s="48"/>
      <c r="D24" s="48"/>
      <c r="E24" s="57"/>
      <c r="F24" s="26"/>
      <c r="G24" s="1"/>
    </row>
    <row r="25" spans="1:7" ht="25.5">
      <c r="A25" s="2" t="s">
        <v>35</v>
      </c>
      <c r="B25" s="36" t="s">
        <v>16</v>
      </c>
      <c r="C25" s="48">
        <f>(922300/12)*5.3/100-3900</f>
        <v>173.49166666666633</v>
      </c>
      <c r="D25" s="48"/>
      <c r="E25" s="57"/>
      <c r="F25" s="23"/>
      <c r="G25" s="12"/>
    </row>
    <row r="26" spans="1:7" ht="25.5">
      <c r="A26" s="44" t="s">
        <v>36</v>
      </c>
      <c r="B26" s="37" t="s">
        <v>17</v>
      </c>
      <c r="C26" s="47">
        <f>SUM(C27:C29)</f>
        <v>2059.917326666667</v>
      </c>
      <c r="D26" s="47"/>
      <c r="E26" s="59"/>
      <c r="F26" s="25"/>
      <c r="G26" s="1"/>
    </row>
    <row r="27" spans="1:7" ht="38.25">
      <c r="A27" s="2" t="s">
        <v>37</v>
      </c>
      <c r="B27" s="37" t="s">
        <v>18</v>
      </c>
      <c r="C27" s="48">
        <f>216648.57*3.8/100-6526.32</f>
        <v>1706.3256600000004</v>
      </c>
      <c r="D27" s="49"/>
      <c r="E27" s="66"/>
      <c r="F27" s="6"/>
      <c r="G27" s="12"/>
    </row>
    <row r="28" spans="1:7" ht="25.5">
      <c r="A28" s="40" t="s">
        <v>38</v>
      </c>
      <c r="B28" s="37" t="s">
        <v>19</v>
      </c>
      <c r="C28" s="50">
        <f>1987.5*3.8/100</f>
        <v>75.525</v>
      </c>
      <c r="D28" s="49"/>
      <c r="E28" s="66"/>
      <c r="F28" s="9"/>
      <c r="G28" s="12"/>
    </row>
    <row r="29" spans="1:7" ht="12.75">
      <c r="A29" s="40" t="s">
        <v>39</v>
      </c>
      <c r="B29" s="37" t="s">
        <v>20</v>
      </c>
      <c r="C29" s="48">
        <f>(85600/12)*5.3/100-100</f>
        <v>278.06666666666666</v>
      </c>
      <c r="D29" s="49"/>
      <c r="E29" s="66"/>
      <c r="F29" s="9"/>
      <c r="G29" s="12"/>
    </row>
    <row r="30" spans="1:7" ht="12.75">
      <c r="A30" s="40" t="s">
        <v>40</v>
      </c>
      <c r="B30" s="37" t="s">
        <v>21</v>
      </c>
      <c r="C30" s="48">
        <f>(644200/12)*5.3/100-2700</f>
        <v>145.2166666666667</v>
      </c>
      <c r="D30" s="49"/>
      <c r="E30" s="66"/>
      <c r="F30" s="9"/>
      <c r="G30" s="12"/>
    </row>
    <row r="31" spans="1:7" ht="38.25">
      <c r="A31" s="40" t="s">
        <v>41</v>
      </c>
      <c r="B31" s="37" t="s">
        <v>22</v>
      </c>
      <c r="C31" s="48"/>
      <c r="D31" s="49"/>
      <c r="E31" s="66"/>
      <c r="F31" s="9"/>
      <c r="G31" s="1"/>
    </row>
    <row r="32" spans="1:7" ht="12.75">
      <c r="A32" s="40" t="s">
        <v>42</v>
      </c>
      <c r="B32" s="37" t="s">
        <v>45</v>
      </c>
      <c r="C32" s="48">
        <f>C13+C31</f>
        <v>55999.99699500001</v>
      </c>
      <c r="D32" s="48"/>
      <c r="E32" s="57"/>
      <c r="F32" s="9"/>
      <c r="G32" s="1"/>
    </row>
    <row r="33" spans="1:7" ht="25.5">
      <c r="A33" s="40">
        <v>6</v>
      </c>
      <c r="B33" s="37" t="s">
        <v>23</v>
      </c>
      <c r="C33" s="48"/>
      <c r="D33" s="49"/>
      <c r="E33" s="66"/>
      <c r="F33" s="9"/>
      <c r="G33" s="1"/>
    </row>
    <row r="34" spans="1:7" ht="12.75">
      <c r="A34" s="40" t="s">
        <v>43</v>
      </c>
      <c r="B34" s="37" t="s">
        <v>25</v>
      </c>
      <c r="C34" s="48">
        <f>C32/35</f>
        <v>1599.9999141428573</v>
      </c>
      <c r="D34" s="48"/>
      <c r="E34" s="57"/>
      <c r="F34" s="9"/>
      <c r="G34" s="1"/>
    </row>
    <row r="35" spans="1:5" ht="23.25" customHeight="1">
      <c r="A35" s="40" t="s">
        <v>44</v>
      </c>
      <c r="B35" s="37" t="s">
        <v>24</v>
      </c>
      <c r="C35" s="50">
        <f>C34/4</f>
        <v>399.9999785357143</v>
      </c>
      <c r="D35" s="48"/>
      <c r="E35" s="57"/>
    </row>
    <row r="36" spans="1:12" ht="12.75">
      <c r="A36" s="12"/>
      <c r="B36" s="7"/>
      <c r="C36" s="7"/>
      <c r="D36" s="8"/>
      <c r="E36" s="57"/>
      <c r="F36" s="1"/>
      <c r="H36" s="61"/>
      <c r="J36" s="5"/>
      <c r="K36" s="5"/>
      <c r="L36" s="5"/>
    </row>
    <row r="37" spans="1:7" ht="12.75" customHeight="1">
      <c r="A37" s="6"/>
      <c r="B37" s="28"/>
      <c r="C37" s="28"/>
      <c r="D37" s="28"/>
      <c r="E37" s="28"/>
      <c r="F37" s="10"/>
      <c r="G37" s="15"/>
    </row>
    <row r="38" spans="1:4" ht="12.75">
      <c r="A38" s="4"/>
      <c r="D38" s="4"/>
    </row>
    <row r="40" spans="1:4" ht="12.75">
      <c r="A40" s="4"/>
      <c r="D40" s="4"/>
    </row>
    <row r="41" spans="1:4" ht="12.75">
      <c r="A41" s="4"/>
      <c r="D41" s="4"/>
    </row>
    <row r="42" spans="1:4" ht="12.75">
      <c r="A42" s="4"/>
      <c r="D42" s="4"/>
    </row>
    <row r="43" spans="1:4" ht="12.75">
      <c r="A43" s="4"/>
      <c r="D43" s="4"/>
    </row>
    <row r="44" spans="1:4" ht="12.75">
      <c r="A44" s="4"/>
      <c r="D44" s="4"/>
    </row>
    <row r="46" spans="1:3" ht="12.75">
      <c r="A46" s="3"/>
      <c r="B46" s="3"/>
      <c r="C46" s="3"/>
    </row>
  </sheetData>
  <sheetProtection/>
  <mergeCells count="4">
    <mergeCell ref="A5:D5"/>
    <mergeCell ref="A7:B7"/>
    <mergeCell ref="A8:B8"/>
    <mergeCell ref="A9:B9"/>
  </mergeCells>
  <printOptions/>
  <pageMargins left="0.21" right="0.1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7.57421875" style="0" customWidth="1"/>
    <col min="2" max="2" width="45.00390625" style="0" customWidth="1"/>
    <col min="3" max="3" width="20.421875" style="0" customWidth="1"/>
    <col min="4" max="4" width="13.57421875" style="0" customWidth="1"/>
    <col min="5" max="5" width="12.28125" style="0" customWidth="1"/>
    <col min="6" max="6" width="10.00390625" style="0" customWidth="1"/>
    <col min="7" max="7" width="11.8515625" style="0" customWidth="1"/>
    <col min="8" max="8" width="9.57421875" style="0" bestFit="1" customWidth="1"/>
  </cols>
  <sheetData>
    <row r="1" spans="1:4" ht="12.75">
      <c r="A1" s="1"/>
      <c r="B1" s="1" t="s">
        <v>1</v>
      </c>
      <c r="C1" s="1"/>
      <c r="D1" s="1"/>
    </row>
    <row r="2" spans="1:4" ht="12.75">
      <c r="A2" s="26"/>
      <c r="B2" s="26"/>
      <c r="C2" s="26"/>
      <c r="D2" s="1"/>
    </row>
    <row r="3" spans="1:4" ht="12.75">
      <c r="A3" s="23"/>
      <c r="B3" s="23" t="s">
        <v>53</v>
      </c>
      <c r="C3" s="23"/>
      <c r="D3" s="23"/>
    </row>
    <row r="4" spans="1:4" ht="12.75">
      <c r="A4" s="1"/>
      <c r="B4" s="26" t="s">
        <v>46</v>
      </c>
      <c r="C4" s="26"/>
      <c r="D4" s="1"/>
    </row>
    <row r="5" spans="1:4" ht="20.25" customHeight="1">
      <c r="A5" s="69" t="s">
        <v>59</v>
      </c>
      <c r="B5" s="69"/>
      <c r="C5" s="69"/>
      <c r="D5" s="1"/>
    </row>
    <row r="6" spans="1:4" ht="12.75">
      <c r="A6" s="67" t="s">
        <v>58</v>
      </c>
      <c r="B6" s="67"/>
      <c r="C6" s="29"/>
      <c r="D6" s="1"/>
    </row>
    <row r="7" spans="1:4" ht="17.25" customHeight="1">
      <c r="A7" s="69" t="s">
        <v>63</v>
      </c>
      <c r="B7" s="69"/>
      <c r="C7" s="6"/>
      <c r="D7" s="1"/>
    </row>
    <row r="8" spans="1:4" ht="27" customHeight="1">
      <c r="A8" s="70" t="s">
        <v>64</v>
      </c>
      <c r="B8" s="70"/>
      <c r="C8" s="30"/>
      <c r="D8" s="1"/>
    </row>
    <row r="9" spans="1:4" ht="12.75">
      <c r="A9" s="11"/>
      <c r="B9" s="6"/>
      <c r="C9" s="6"/>
      <c r="D9" s="1"/>
    </row>
    <row r="10" spans="1:6" ht="12.75">
      <c r="A10" s="2" t="s">
        <v>3</v>
      </c>
      <c r="B10" s="2" t="s">
        <v>0</v>
      </c>
      <c r="C10" s="2" t="s">
        <v>4</v>
      </c>
      <c r="D10" s="18"/>
      <c r="E10" s="1"/>
      <c r="F10" s="1"/>
    </row>
    <row r="11" spans="1:6" ht="12.75">
      <c r="A11" s="45">
        <v>1</v>
      </c>
      <c r="B11" s="45">
        <v>2</v>
      </c>
      <c r="C11" s="45">
        <v>3</v>
      </c>
      <c r="D11" s="63"/>
      <c r="E11" s="26"/>
      <c r="F11" s="1"/>
    </row>
    <row r="12" spans="1:6" ht="27" customHeight="1">
      <c r="A12" s="2">
        <v>1</v>
      </c>
      <c r="B12" s="36" t="s">
        <v>6</v>
      </c>
      <c r="C12" s="48">
        <f>C13+C20</f>
        <v>288000.00047333335</v>
      </c>
      <c r="D12" s="57"/>
      <c r="E12" s="23"/>
      <c r="F12" s="1"/>
    </row>
    <row r="13" spans="1:6" ht="25.5">
      <c r="A13" s="2">
        <v>2</v>
      </c>
      <c r="B13" s="36" t="s">
        <v>7</v>
      </c>
      <c r="C13" s="48">
        <f>SUM(C14:C19)</f>
        <v>42418.97407999999</v>
      </c>
      <c r="D13" s="57"/>
      <c r="E13" s="1"/>
      <c r="F13" s="1"/>
    </row>
    <row r="14" spans="1:6" ht="12.75">
      <c r="A14" s="39" t="s">
        <v>26</v>
      </c>
      <c r="B14" s="22" t="s">
        <v>47</v>
      </c>
      <c r="C14" s="47">
        <v>13602.29</v>
      </c>
      <c r="D14" s="59"/>
      <c r="E14" s="6"/>
      <c r="F14" s="6"/>
    </row>
    <row r="15" spans="1:6" ht="15.75" customHeight="1">
      <c r="A15" s="40" t="s">
        <v>27</v>
      </c>
      <c r="B15" s="22" t="s">
        <v>50</v>
      </c>
      <c r="C15" s="48">
        <v>3935.6</v>
      </c>
      <c r="D15" s="18"/>
      <c r="E15" s="7"/>
      <c r="F15" s="7"/>
    </row>
    <row r="16" spans="1:9" ht="12.75">
      <c r="A16" s="39" t="s">
        <v>28</v>
      </c>
      <c r="B16" s="36" t="s">
        <v>8</v>
      </c>
      <c r="C16" s="48">
        <f>C14*30.2/100</f>
        <v>4107.8915799999995</v>
      </c>
      <c r="D16" s="57"/>
      <c r="E16" s="14"/>
      <c r="F16" s="51"/>
      <c r="I16" s="52"/>
    </row>
    <row r="17" spans="1:9" ht="12.75">
      <c r="A17" s="39" t="s">
        <v>29</v>
      </c>
      <c r="B17" s="36" t="s">
        <v>9</v>
      </c>
      <c r="C17" s="48">
        <f>163482.75/12</f>
        <v>13623.5625</v>
      </c>
      <c r="D17" s="57"/>
      <c r="E17" s="14"/>
      <c r="F17" s="12"/>
      <c r="G17" s="4"/>
      <c r="I17" s="34"/>
    </row>
    <row r="18" spans="1:6" ht="12.75">
      <c r="A18" s="41" t="s">
        <v>30</v>
      </c>
      <c r="B18" s="38" t="s">
        <v>10</v>
      </c>
      <c r="C18" s="50"/>
      <c r="D18" s="64"/>
      <c r="E18" s="32"/>
      <c r="F18" s="34"/>
    </row>
    <row r="19" spans="1:6" ht="27" customHeight="1">
      <c r="A19" s="42" t="s">
        <v>31</v>
      </c>
      <c r="B19" s="38" t="s">
        <v>11</v>
      </c>
      <c r="C19" s="54">
        <f>7149.63</f>
        <v>7149.63</v>
      </c>
      <c r="D19" s="65"/>
      <c r="E19" s="33"/>
      <c r="F19" s="4"/>
    </row>
    <row r="20" spans="1:6" ht="27.75" customHeight="1">
      <c r="A20" s="43">
        <v>3</v>
      </c>
      <c r="B20" s="38" t="s">
        <v>12</v>
      </c>
      <c r="C20" s="50">
        <f>SUM(C21:C25)+C29</f>
        <v>245581.02639333333</v>
      </c>
      <c r="D20" s="64"/>
      <c r="E20" s="33"/>
      <c r="F20" s="34"/>
    </row>
    <row r="21" spans="1:8" ht="25.5">
      <c r="A21" s="43" t="s">
        <v>32</v>
      </c>
      <c r="B21" s="38" t="s">
        <v>13</v>
      </c>
      <c r="C21" s="50">
        <f>350000/12</f>
        <v>29166.666666666668</v>
      </c>
      <c r="D21" s="64"/>
      <c r="E21" s="32"/>
      <c r="F21" s="34"/>
      <c r="G21" s="5"/>
      <c r="H21" s="4"/>
    </row>
    <row r="22" spans="1:8" ht="12.75">
      <c r="A22" s="2" t="s">
        <v>33</v>
      </c>
      <c r="B22" s="36" t="s">
        <v>14</v>
      </c>
      <c r="C22" s="48"/>
      <c r="D22" s="57"/>
      <c r="E22" s="1"/>
      <c r="F22" s="12"/>
      <c r="G22" s="5"/>
      <c r="H22" s="4"/>
    </row>
    <row r="23" spans="1:6" ht="12.75">
      <c r="A23" s="2" t="s">
        <v>34</v>
      </c>
      <c r="B23" s="36" t="s">
        <v>15</v>
      </c>
      <c r="C23" s="48"/>
      <c r="D23" s="57"/>
      <c r="E23" s="26"/>
      <c r="F23" s="1"/>
    </row>
    <row r="24" spans="1:6" ht="25.5">
      <c r="A24" s="2" t="s">
        <v>35</v>
      </c>
      <c r="B24" s="36" t="s">
        <v>16</v>
      </c>
      <c r="C24" s="48">
        <f>922300/12-699.02</f>
        <v>76159.31333333332</v>
      </c>
      <c r="D24" s="57"/>
      <c r="E24" s="23"/>
      <c r="F24" s="12"/>
    </row>
    <row r="25" spans="1:6" ht="25.5">
      <c r="A25" s="44" t="s">
        <v>36</v>
      </c>
      <c r="B25" s="37" t="s">
        <v>17</v>
      </c>
      <c r="C25" s="47">
        <f>SUM(C26:C28)</f>
        <v>85405.04639333332</v>
      </c>
      <c r="D25" s="59"/>
      <c r="E25" s="25"/>
      <c r="F25" s="1"/>
    </row>
    <row r="26" spans="1:6" ht="38.25">
      <c r="A26" s="2" t="s">
        <v>37</v>
      </c>
      <c r="B26" s="37" t="s">
        <v>18</v>
      </c>
      <c r="C26" s="48">
        <f>216648.57*35.8/100</f>
        <v>77560.18806</v>
      </c>
      <c r="D26" s="66"/>
      <c r="E26" s="6"/>
      <c r="F26" s="12"/>
    </row>
    <row r="27" spans="1:6" ht="25.5">
      <c r="A27" s="40" t="s">
        <v>38</v>
      </c>
      <c r="B27" s="37" t="s">
        <v>19</v>
      </c>
      <c r="C27" s="50">
        <f>1987.5*35.8/100</f>
        <v>711.525</v>
      </c>
      <c r="D27" s="66"/>
      <c r="E27" s="9"/>
      <c r="F27" s="12"/>
    </row>
    <row r="28" spans="1:6" ht="12.75">
      <c r="A28" s="40" t="s">
        <v>39</v>
      </c>
      <c r="B28" s="37" t="s">
        <v>20</v>
      </c>
      <c r="C28" s="48">
        <f>85600/12</f>
        <v>7133.333333333333</v>
      </c>
      <c r="D28" s="66"/>
      <c r="E28" s="9"/>
      <c r="F28" s="12"/>
    </row>
    <row r="29" spans="1:6" ht="12.75">
      <c r="A29" s="40" t="s">
        <v>40</v>
      </c>
      <c r="B29" s="37" t="s">
        <v>21</v>
      </c>
      <c r="C29" s="48">
        <f>658200/12</f>
        <v>54850</v>
      </c>
      <c r="D29" s="66"/>
      <c r="E29" s="9"/>
      <c r="F29" s="12"/>
    </row>
    <row r="30" spans="1:6" ht="38.25">
      <c r="A30" s="40" t="s">
        <v>41</v>
      </c>
      <c r="B30" s="37" t="s">
        <v>22</v>
      </c>
      <c r="C30" s="48"/>
      <c r="D30" s="66"/>
      <c r="E30" s="9"/>
      <c r="F30" s="1"/>
    </row>
    <row r="31" spans="1:6" ht="12.75">
      <c r="A31" s="40" t="s">
        <v>42</v>
      </c>
      <c r="B31" s="37" t="s">
        <v>45</v>
      </c>
      <c r="C31" s="48">
        <f>C12+C30</f>
        <v>288000.00047333335</v>
      </c>
      <c r="D31" s="57"/>
      <c r="E31" s="9"/>
      <c r="F31" s="1"/>
    </row>
    <row r="32" spans="1:6" ht="25.5">
      <c r="A32" s="40">
        <v>6</v>
      </c>
      <c r="B32" s="37" t="s">
        <v>23</v>
      </c>
      <c r="C32" s="48"/>
      <c r="D32" s="66"/>
      <c r="E32" s="9"/>
      <c r="F32" s="1"/>
    </row>
    <row r="33" spans="1:6" ht="12.75">
      <c r="A33" s="40" t="s">
        <v>43</v>
      </c>
      <c r="B33" s="37" t="s">
        <v>25</v>
      </c>
      <c r="C33" s="48">
        <f>C31/240</f>
        <v>1200.0000019722222</v>
      </c>
      <c r="D33" s="57"/>
      <c r="E33" s="9"/>
      <c r="F33" s="1"/>
    </row>
    <row r="34" spans="1:4" ht="23.25" customHeight="1">
      <c r="A34" s="40" t="s">
        <v>44</v>
      </c>
      <c r="B34" s="37" t="s">
        <v>24</v>
      </c>
      <c r="C34" s="50">
        <f>1200/4</f>
        <v>300</v>
      </c>
      <c r="D34" s="57"/>
    </row>
    <row r="35" spans="1:10" ht="12.75">
      <c r="A35" s="12"/>
      <c r="B35" s="7"/>
      <c r="C35" s="7"/>
      <c r="D35" s="1"/>
      <c r="F35" s="61"/>
      <c r="H35" s="5"/>
      <c r="I35" s="5"/>
      <c r="J35" s="5"/>
    </row>
  </sheetData>
  <sheetProtection/>
  <mergeCells count="3">
    <mergeCell ref="A5:C5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7.57421875" style="0" customWidth="1"/>
    <col min="2" max="2" width="45.00390625" style="0" customWidth="1"/>
    <col min="3" max="3" width="20.421875" style="0" customWidth="1"/>
    <col min="4" max="4" width="13.57421875" style="0" customWidth="1"/>
    <col min="5" max="5" width="12.28125" style="0" customWidth="1"/>
    <col min="6" max="6" width="10.00390625" style="0" customWidth="1"/>
    <col min="8" max="8" width="9.57421875" style="0" bestFit="1" customWidth="1"/>
  </cols>
  <sheetData>
    <row r="1" spans="1:4" ht="12.75">
      <c r="A1" s="1"/>
      <c r="B1" s="1" t="s">
        <v>1</v>
      </c>
      <c r="C1" s="1"/>
      <c r="D1" s="1"/>
    </row>
    <row r="2" spans="1:4" ht="12.75">
      <c r="A2" s="26"/>
      <c r="B2" s="26"/>
      <c r="C2" s="26"/>
      <c r="D2" s="1"/>
    </row>
    <row r="3" spans="1:4" ht="12.75">
      <c r="A3" s="23"/>
      <c r="B3" s="23" t="s">
        <v>65</v>
      </c>
      <c r="C3" s="23"/>
      <c r="D3" s="23"/>
    </row>
    <row r="4" spans="1:4" ht="12.75">
      <c r="A4" s="1"/>
      <c r="B4" s="26" t="s">
        <v>46</v>
      </c>
      <c r="C4" s="26"/>
      <c r="D4" s="1"/>
    </row>
    <row r="5" spans="1:4" ht="20.25" customHeight="1">
      <c r="A5" s="69" t="s">
        <v>59</v>
      </c>
      <c r="B5" s="69"/>
      <c r="C5" s="69"/>
      <c r="D5" s="1"/>
    </row>
    <row r="6" spans="1:4" ht="12.75">
      <c r="A6" s="67" t="s">
        <v>66</v>
      </c>
      <c r="B6" s="67"/>
      <c r="C6" s="29"/>
      <c r="D6" s="1"/>
    </row>
    <row r="7" spans="1:4" ht="17.25" customHeight="1">
      <c r="A7" s="69" t="s">
        <v>72</v>
      </c>
      <c r="B7" s="69"/>
      <c r="C7" s="6"/>
      <c r="D7" s="1"/>
    </row>
    <row r="8" spans="1:4" ht="27" customHeight="1">
      <c r="A8" s="70" t="s">
        <v>64</v>
      </c>
      <c r="B8" s="70"/>
      <c r="C8" s="30"/>
      <c r="D8" s="1"/>
    </row>
    <row r="9" spans="1:4" ht="12.75">
      <c r="A9" s="11"/>
      <c r="B9" s="6"/>
      <c r="C9" s="6"/>
      <c r="D9" s="1"/>
    </row>
    <row r="10" spans="1:6" ht="12.75">
      <c r="A10" s="2" t="s">
        <v>3</v>
      </c>
      <c r="B10" s="2" t="s">
        <v>0</v>
      </c>
      <c r="C10" s="2" t="s">
        <v>4</v>
      </c>
      <c r="D10" s="18"/>
      <c r="E10" s="1"/>
      <c r="F10" s="1"/>
    </row>
    <row r="11" spans="1:6" ht="12.75">
      <c r="A11" s="45">
        <v>1</v>
      </c>
      <c r="B11" s="45">
        <v>2</v>
      </c>
      <c r="C11" s="45">
        <v>3</v>
      </c>
      <c r="D11" s="63"/>
      <c r="E11" s="26"/>
      <c r="F11" s="1"/>
    </row>
    <row r="12" spans="1:6" ht="27" customHeight="1">
      <c r="A12" s="2">
        <v>1</v>
      </c>
      <c r="B12" s="36" t="s">
        <v>6</v>
      </c>
      <c r="C12" s="48">
        <f>C13+C20</f>
        <v>33999.99962166667</v>
      </c>
      <c r="D12" s="57"/>
      <c r="E12" s="23"/>
      <c r="F12" s="1"/>
    </row>
    <row r="13" spans="1:6" ht="25.5">
      <c r="A13" s="2">
        <v>2</v>
      </c>
      <c r="B13" s="36" t="s">
        <v>7</v>
      </c>
      <c r="C13" s="48">
        <f>SUM(C14:C19)</f>
        <v>23791.129415</v>
      </c>
      <c r="D13" s="57"/>
      <c r="E13" s="1"/>
      <c r="F13" s="1"/>
    </row>
    <row r="14" spans="1:6" ht="12.75">
      <c r="A14" s="39" t="s">
        <v>26</v>
      </c>
      <c r="B14" s="22" t="s">
        <v>47</v>
      </c>
      <c r="C14" s="47">
        <v>14558.82</v>
      </c>
      <c r="D14" s="59"/>
      <c r="E14" s="6"/>
      <c r="F14" s="6"/>
    </row>
    <row r="15" spans="1:6" ht="15.75" customHeight="1">
      <c r="A15" s="40" t="s">
        <v>27</v>
      </c>
      <c r="B15" s="22" t="s">
        <v>50</v>
      </c>
      <c r="C15" s="48">
        <v>4212.35</v>
      </c>
      <c r="D15" s="18"/>
      <c r="E15" s="7"/>
      <c r="F15" s="7"/>
    </row>
    <row r="16" spans="1:9" ht="12.75">
      <c r="A16" s="39" t="s">
        <v>28</v>
      </c>
      <c r="B16" s="36" t="s">
        <v>8</v>
      </c>
      <c r="C16" s="48">
        <f>C14*30.2/100</f>
        <v>4396.76364</v>
      </c>
      <c r="D16" s="57"/>
      <c r="E16" s="14"/>
      <c r="F16" s="51"/>
      <c r="I16" s="52"/>
    </row>
    <row r="17" spans="1:9" ht="12.75">
      <c r="A17" s="39" t="s">
        <v>29</v>
      </c>
      <c r="B17" s="36" t="s">
        <v>9</v>
      </c>
      <c r="C17" s="48">
        <f>163482.75/12*3/100</f>
        <v>408.706875</v>
      </c>
      <c r="D17" s="57"/>
      <c r="E17" s="14"/>
      <c r="F17" s="12"/>
      <c r="G17" s="4"/>
      <c r="I17" s="34"/>
    </row>
    <row r="18" spans="1:6" ht="12.75">
      <c r="A18" s="41" t="s">
        <v>30</v>
      </c>
      <c r="B18" s="38" t="s">
        <v>10</v>
      </c>
      <c r="C18" s="50"/>
      <c r="D18" s="64"/>
      <c r="E18" s="32"/>
      <c r="F18" s="34"/>
    </row>
    <row r="19" spans="1:6" ht="27" customHeight="1">
      <c r="A19" s="42" t="s">
        <v>31</v>
      </c>
      <c r="B19" s="38" t="s">
        <v>11</v>
      </c>
      <c r="C19" s="54">
        <f>7149.63*3/100</f>
        <v>214.4889</v>
      </c>
      <c r="D19" s="65"/>
      <c r="E19" s="33"/>
      <c r="F19" s="4"/>
    </row>
    <row r="20" spans="1:6" ht="27.75" customHeight="1">
      <c r="A20" s="43">
        <v>3</v>
      </c>
      <c r="B20" s="38" t="s">
        <v>12</v>
      </c>
      <c r="C20" s="50">
        <f>SUM(C21:C25)+C29</f>
        <v>10208.870206666668</v>
      </c>
      <c r="D20" s="64"/>
      <c r="E20" s="33"/>
      <c r="F20" s="34"/>
    </row>
    <row r="21" spans="1:8" ht="25.5">
      <c r="A21" s="43" t="s">
        <v>32</v>
      </c>
      <c r="B21" s="38" t="s">
        <v>13</v>
      </c>
      <c r="C21" s="50">
        <f>350000/12*2.2/100</f>
        <v>641.6666666666667</v>
      </c>
      <c r="D21" s="64"/>
      <c r="E21" s="32"/>
      <c r="F21" s="34"/>
      <c r="G21" s="5"/>
      <c r="H21" s="4"/>
    </row>
    <row r="22" spans="1:8" ht="12.75">
      <c r="A22" s="2" t="s">
        <v>33</v>
      </c>
      <c r="B22" s="36" t="s">
        <v>14</v>
      </c>
      <c r="C22" s="48"/>
      <c r="D22" s="57"/>
      <c r="E22" s="1"/>
      <c r="F22" s="12"/>
      <c r="G22" s="5"/>
      <c r="H22" s="4"/>
    </row>
    <row r="23" spans="1:6" ht="12.75">
      <c r="A23" s="2" t="s">
        <v>34</v>
      </c>
      <c r="B23" s="36" t="s">
        <v>15</v>
      </c>
      <c r="C23" s="48"/>
      <c r="D23" s="57"/>
      <c r="E23" s="26"/>
      <c r="F23" s="1"/>
    </row>
    <row r="24" spans="1:6" ht="25.5">
      <c r="A24" s="2" t="s">
        <v>35</v>
      </c>
      <c r="B24" s="36" t="s">
        <v>16</v>
      </c>
      <c r="C24" s="48">
        <f>1122300/12*2.2/100+875.16</f>
        <v>2932.71</v>
      </c>
      <c r="D24" s="57"/>
      <c r="E24" s="23"/>
      <c r="F24" s="12"/>
    </row>
    <row r="25" spans="1:6" ht="25.5">
      <c r="A25" s="44" t="s">
        <v>36</v>
      </c>
      <c r="B25" s="37" t="s">
        <v>17</v>
      </c>
      <c r="C25" s="47">
        <f>SUM(C26:C28)</f>
        <v>5023.993540000001</v>
      </c>
      <c r="D25" s="59"/>
      <c r="E25" s="25"/>
      <c r="F25" s="1"/>
    </row>
    <row r="26" spans="1:6" ht="38.25">
      <c r="A26" s="2" t="s">
        <v>37</v>
      </c>
      <c r="B26" s="37" t="s">
        <v>18</v>
      </c>
      <c r="C26" s="48">
        <f>216648.57*2.2/100</f>
        <v>4766.268540000001</v>
      </c>
      <c r="D26" s="66"/>
      <c r="E26" s="6"/>
      <c r="F26" s="12"/>
    </row>
    <row r="27" spans="1:6" ht="25.5">
      <c r="A27" s="40" t="s">
        <v>38</v>
      </c>
      <c r="B27" s="37" t="s">
        <v>19</v>
      </c>
      <c r="C27" s="50">
        <f>1987.5*2.2/100</f>
        <v>43.725</v>
      </c>
      <c r="D27" s="66"/>
      <c r="E27" s="9"/>
      <c r="F27" s="12"/>
    </row>
    <row r="28" spans="1:6" ht="12.75">
      <c r="A28" s="40" t="s">
        <v>39</v>
      </c>
      <c r="B28" s="37" t="s">
        <v>20</v>
      </c>
      <c r="C28" s="48">
        <f>85600/12*3/100</f>
        <v>214</v>
      </c>
      <c r="D28" s="66"/>
      <c r="E28" s="9"/>
      <c r="F28" s="12"/>
    </row>
    <row r="29" spans="1:6" ht="12.75">
      <c r="A29" s="40" t="s">
        <v>40</v>
      </c>
      <c r="B29" s="37" t="s">
        <v>21</v>
      </c>
      <c r="C29" s="48">
        <f>644200/12*3/100</f>
        <v>1610.5</v>
      </c>
      <c r="D29" s="66"/>
      <c r="E29" s="9"/>
      <c r="F29" s="12"/>
    </row>
    <row r="30" spans="1:6" ht="38.25">
      <c r="A30" s="40" t="s">
        <v>41</v>
      </c>
      <c r="B30" s="37" t="s">
        <v>22</v>
      </c>
      <c r="C30" s="48"/>
      <c r="D30" s="66"/>
      <c r="E30" s="9"/>
      <c r="F30" s="1"/>
    </row>
    <row r="31" spans="1:6" ht="12.75">
      <c r="A31" s="40" t="s">
        <v>42</v>
      </c>
      <c r="B31" s="37" t="s">
        <v>45</v>
      </c>
      <c r="C31" s="48">
        <f>C12+C30</f>
        <v>33999.99962166667</v>
      </c>
      <c r="D31" s="57"/>
      <c r="E31" s="9"/>
      <c r="F31" s="1"/>
    </row>
    <row r="32" spans="1:6" ht="25.5">
      <c r="A32" s="40">
        <v>6</v>
      </c>
      <c r="B32" s="37" t="s">
        <v>23</v>
      </c>
      <c r="C32" s="48"/>
      <c r="D32" s="66"/>
      <c r="E32" s="9"/>
      <c r="F32" s="1"/>
    </row>
    <row r="33" spans="1:6" ht="12.75">
      <c r="A33" s="40" t="s">
        <v>43</v>
      </c>
      <c r="B33" s="37" t="s">
        <v>25</v>
      </c>
      <c r="C33" s="48">
        <f>C31/20</f>
        <v>1699.9999810833335</v>
      </c>
      <c r="D33" s="57"/>
      <c r="E33" s="9"/>
      <c r="F33" s="1"/>
    </row>
    <row r="34" spans="1:4" ht="23.25" customHeight="1">
      <c r="A34" s="40" t="s">
        <v>44</v>
      </c>
      <c r="B34" s="37" t="s">
        <v>24</v>
      </c>
      <c r="C34" s="50">
        <f>1700/4</f>
        <v>425</v>
      </c>
      <c r="D34" s="57"/>
    </row>
    <row r="35" spans="1:10" ht="12.75">
      <c r="A35" s="12"/>
      <c r="B35" s="7"/>
      <c r="C35" s="68"/>
      <c r="D35" s="1"/>
      <c r="F35" s="61"/>
      <c r="H35" s="5"/>
      <c r="I35" s="5"/>
      <c r="J35" s="5"/>
    </row>
  </sheetData>
  <sheetProtection/>
  <mergeCells count="3">
    <mergeCell ref="A5:C5"/>
    <mergeCell ref="A7:B7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2016-12-09T11:14:07Z</cp:lastPrinted>
  <dcterms:created xsi:type="dcterms:W3CDTF">1996-10-08T23:32:33Z</dcterms:created>
  <dcterms:modified xsi:type="dcterms:W3CDTF">2019-12-16T08:13:29Z</dcterms:modified>
  <cp:category/>
  <cp:version/>
  <cp:contentType/>
  <cp:contentStatus/>
</cp:coreProperties>
</file>